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codeName="ThisWorkbook"/>
  <xr:revisionPtr revIDLastSave="34" documentId="13_ncr:1_{D51A4AEF-4A1E-408C-9877-1F89A37DB7DD}" xr6:coauthVersionLast="47" xr6:coauthVersionMax="47" xr10:uidLastSave="{20F9C23C-A5F4-4FC2-A190-9B6B15885BFF}"/>
  <bookViews>
    <workbookView xWindow="-110" yWindow="-110" windowWidth="19420" windowHeight="10300" tabRatio="861" activeTab="11" xr2:uid="{00000000-000D-0000-FFFF-FFFF00000000}"/>
  </bookViews>
  <sheets>
    <sheet name="C" sheetId="76" r:id="rId1"/>
    <sheet name="V" sheetId="77" r:id="rId2"/>
    <sheet name="S" sheetId="78" r:id="rId3"/>
    <sheet name="InLists" sheetId="51" r:id="rId4"/>
    <sheet name="Control" sheetId="49" r:id="rId5"/>
    <sheet name="InVolumes" sheetId="65" r:id="rId6"/>
    <sheet name="InRevenues" sheetId="66" r:id="rId7"/>
    <sheet name="InWholesaleIC" sheetId="68" r:id="rId8"/>
    <sheet name="InRetailCosts" sheetId="79" r:id="rId9"/>
    <sheet name="Volumes" sheetId="53" r:id="rId10"/>
    <sheet name="Revenues" sheetId="54" r:id="rId11"/>
    <sheet name="FixedWholesale" sheetId="73" r:id="rId12"/>
    <sheet name="Wholesale" sheetId="59" r:id="rId13"/>
    <sheet name="IC" sheetId="67" r:id="rId14"/>
  </sheets>
  <definedNames>
    <definedName name="_xlnm._FilterDatabase" localSheetId="5" hidden="1">InVolumes!$C$151:$AC$436</definedName>
    <definedName name="billion">1000000000</definedName>
    <definedName name="bit.conversion">1024</definedName>
    <definedName name="bit.per.byte">8</definedName>
    <definedName name="cell.pi">2.6</definedName>
    <definedName name="check.current.MVNO.SP.access.fee">InWholesaleIC!$D$33</definedName>
    <definedName name="check.current.MVNO.SP.data">InWholesaleIC!$D$114</definedName>
    <definedName name="check.current.MVNO.SP.roaming">InWholesaleIC!$D$217</definedName>
    <definedName name="check.current.MVNO.SP.SMS">InWholesaleIC!$D$87</definedName>
    <definedName name="check.current.MVNO.SP.termination">InWholesaleIC!$D$188</definedName>
    <definedName name="check.current.MVNO.SP.VAS">InWholesaleIC!$D$245</definedName>
    <definedName name="check.current.MVNO.SP.voice">InWholesaleIC!$D$60</definedName>
    <definedName name="check.current.offers">InLists!$C$27:$C$28</definedName>
    <definedName name="check.naming.consistency">InLists!$C$75</definedName>
    <definedName name="check.product.weights">InLists!$B$90</definedName>
    <definedName name="chosen.data.speed">Control!$F$29</definedName>
    <definedName name="cost.per.MB.by.speed">InWholesaleIC!$F$114:$N$114,InWholesaleIC!$P$114:$X$114,InWholesaleIC!$Z$114:$AH$114</definedName>
    <definedName name="cost.trend.options">InLists!$B$248:$B$250</definedName>
    <definedName name="current.MVNO.and.SP.offer">InLists!$B$27:$B$28</definedName>
    <definedName name="Current.ws.offer">InWholesaleIC!$E$2</definedName>
    <definedName name="data.per.month.segment.1">Volumes!$V$83:$V$117</definedName>
    <definedName name="data.per.month.segment.2">Volumes!$V$200:$V$234</definedName>
    <definedName name="data.per.month.segment.3">Volumes!$V$317:$V$351</definedName>
    <definedName name="data.per.month.segment.4">Volumes!$V$434:$V$468</definedName>
    <definedName name="data.speed.options">InLists!$B$254:$B$256</definedName>
    <definedName name="data.speed.options.segment.1">InLists!$I$93:$I$127</definedName>
    <definedName name="data.speed.options.segment.2">InLists!$I$132:$I$166</definedName>
    <definedName name="data.speed.options.segment.3">InLists!$I$171:$I$205</definedName>
    <definedName name="data.speed.options.segment.4">InLists!$I$210:$I$244</definedName>
    <definedName name="data.uplift.sensitivity">Control!$D$32</definedName>
    <definedName name="days.per.month">30.42</definedName>
    <definedName name="days.per.year">365</definedName>
    <definedName name="demand.descriptions">InVolumes!$D$6:$AB$6</definedName>
    <definedName name="demand.descriptions.short">InVolumes!$D$151:$AB$151</definedName>
    <definedName name="destination.IC">InLists!$B$33:$B$35</definedName>
    <definedName name="discount.rebate">InWholesaleIC!$H$120:$H$158</definedName>
    <definedName name="discount.turnover.interval">InWholesaleIC!$J$120:$J$158</definedName>
    <definedName name="distribution.data.wholesale.tier">InVolumes!$D$440:$L$579</definedName>
    <definedName name="distribution.outgoing.voice.by.destination">InVolumes!$D$296:$F$435</definedName>
    <definedName name="effective.date">Control!$D$31</definedName>
    <definedName name="epsilon">0.000001</definedName>
    <definedName name="fixed.cost.synergy.both.segments">InRetailCosts!$H$71</definedName>
    <definedName name="hours.per.day">24</definedName>
    <definedName name="in.min.per.month.segment.1">Volumes!$S$45:$S$79</definedName>
    <definedName name="in.min.per.month.segment.2">Volumes!$S$162:$S$196</definedName>
    <definedName name="in.min.per.month.segment.3">Volumes!$S$279:$S$313</definedName>
    <definedName name="in.min.per.month.segment.4">Volumes!$S$396:$S$430</definedName>
    <definedName name="in.SMS.per.month.segment.1">Volumes!$T$45:$T$79</definedName>
    <definedName name="in.SMS.per.month.segment.2">Volumes!$T$162:$T$196</definedName>
    <definedName name="in.SMS.per.month.segment.3">Volumes!$T$279:$T$313</definedName>
    <definedName name="in.SMS.per.month.segment.4">Volumes!$T$396:$T$430</definedName>
    <definedName name="Incoming.termination">InWholesaleIC!$N$166:$P$166</definedName>
    <definedName name="infinite">9999999999</definedName>
    <definedName name="label.not.applicable">"N.a."</definedName>
    <definedName name="lbl.MVNO">InLists!$B$51</definedName>
    <definedName name="lbl.SP">InLists!$B$52</definedName>
    <definedName name="list.data.speed.choices">InLists!$B$260:$B$263</definedName>
    <definedName name="list.revenue.and.cost.handset.and.other">InLists!$B$269:$B$272</definedName>
    <definedName name="market.retail.segment.1.subscribers">InRetailCosts!$E$46</definedName>
    <definedName name="market.retail.segment.2.subscribers">InRetailCosts!$F$46</definedName>
    <definedName name="market.retail.segment.3.subscribers">InRetailCosts!$G$46</definedName>
    <definedName name="market.retail.segment.4.subscribers">InRetailCosts!$H$46</definedName>
    <definedName name="market.retail.subscribers">InRetailCosts!$D$46</definedName>
    <definedName name="million">1000000</definedName>
    <definedName name="minutes.per.hour">60</definedName>
    <definedName name="months.per.year">12</definedName>
    <definedName name="offers.segment.1">InLists!$B$93:$B$127</definedName>
    <definedName name="offers.segment.2">InLists!$B$132:$B$166</definedName>
    <definedName name="offers.segment.3">InLists!$B$171:$B$205</definedName>
    <definedName name="offers.segment.4">InLists!$B$210:$B$244</definedName>
    <definedName name="offers.segment.all">InVolumes!$C$296:$C$435</definedName>
    <definedName name="options.selected.basic">InLists!$C$68:$H$68</definedName>
    <definedName name="options.selected.monthly">InLists!$C$72:$E$72</definedName>
    <definedName name="options.selected.roaming">InLists!$C$71:$E$71</definedName>
    <definedName name="options.selected.roaming.detailed">InLists!$C$69:$K$69</definedName>
    <definedName name="options.selected.termination">InLists!$C$73:$E$73</definedName>
    <definedName name="options.selected.VAS">InLists!$C$70:$E$70</definedName>
    <definedName name="out.IC.min.per.month.segment.1">Volumes!$H$83:$J$117</definedName>
    <definedName name="out.IC.min.per.month.segment.2">Volumes!$H$200:$J$234</definedName>
    <definedName name="out.IC.min.per.month.segment.3">Volumes!$H$317:$J$351</definedName>
    <definedName name="out.IC.min.per.month.segment.4">Volumes!$H$434:$J$468</definedName>
    <definedName name="out.IC.SMS.per.month.segment.1">Volumes!$P$83:$R$117</definedName>
    <definedName name="out.IC.SMS.per.month.segment.2">Volumes!$P$200:$R$234</definedName>
    <definedName name="out.IC.SMS.per.month.segment.3">Volumes!$P$317:$R$351</definedName>
    <definedName name="out.IC.SMS.per.month.segment.4">Volumes!$P$434:$R$468</definedName>
    <definedName name="out.min.per.month.segment.1">Volumes!$F$83:$F$117</definedName>
    <definedName name="out.min.per.month.segment.2">Volumes!$F$200:$F$234</definedName>
    <definedName name="out.min.per.month.segment.3">Volumes!$F$317:$F$351</definedName>
    <definedName name="out.min.per.month.segment.4">Volumes!$F$434:$F$468</definedName>
    <definedName name="out.SMS.per.month.segment.1">Volumes!$N$83:$N$117</definedName>
    <definedName name="out.SMS.per.month.segment.2">Volumes!$N$200:$N$234</definedName>
    <definedName name="out.SMS.per.month.segment.3">Volumes!$N$317:$N$351</definedName>
    <definedName name="out.SMS.per.month.segment.4">Volumes!$N$434:$N$468</definedName>
    <definedName name="out.split.min.per.month.segment.1">Volumes!$G$83:$L$117</definedName>
    <definedName name="out.split.min.per.month.segment.2">Volumes!$G$200:$L$234</definedName>
    <definedName name="out.split.min.per.month.segment.3">Volumes!$G$317:$L$351</definedName>
    <definedName name="out.split.min.per.month.segment.4">Volumes!$G$434:$L$468</definedName>
    <definedName name="out.split.SMS.per.month.segment.1">Volumes!$O$83:$T$117</definedName>
    <definedName name="out.split.SMS.per.month.segment.2">Volumes!$O$200:$T$234</definedName>
    <definedName name="out.split.SMS.per.month.segment.3">Volumes!$O$317:$T$351</definedName>
    <definedName name="out.split.SMS.per.month.segment.4">Volumes!$O$434:$T$468</definedName>
    <definedName name="Out.term.SMS">InWholesaleIC!$J$166:$L$166</definedName>
    <definedName name="Out.term.voice">InWholesaleIC!$F$166:$H$166</definedName>
    <definedName name="output.additional.revenue.all">Revenues!$I$6</definedName>
    <definedName name="output.additional.revenue.segment.1">Revenues!$I$7</definedName>
    <definedName name="output.additional.revenue.segment.2">Revenues!$I$8</definedName>
    <definedName name="output.additional.revenue.segment.3">Revenues!$I$9</definedName>
    <definedName name="output.additional.revenue.segment.4">Revenues!$I$10</definedName>
    <definedName name="output.average.cost.per.MB.all.sub.weighted">Wholesale!$F$11</definedName>
    <definedName name="output.average.cost.per.MB.segment.1">Wholesale!$F$12</definedName>
    <definedName name="output.average.cost.per.MB.segment.2">Wholesale!$F$13</definedName>
    <definedName name="output.average.cost.per.MB.segment.3">Wholesale!$F$14</definedName>
    <definedName name="output.average.cost.per.MB.segment.4">Wholesale!$F$15</definedName>
    <definedName name="output.external.costs.segment.1">Revenues!$J$654</definedName>
    <definedName name="output.external.costs.segment.2">Revenues!$J$700</definedName>
    <definedName name="output.external.costs.segment.3">Revenues!$J$746</definedName>
    <definedName name="output.external.costs.segment.4">Revenues!$J$792</definedName>
    <definedName name="output.fixed.ws.all">FixedWholesale!$F$5</definedName>
    <definedName name="output.fixed.ws.segment.1">FixedWholesale!$F$6</definedName>
    <definedName name="output.fixed.ws.segment.2">FixedWholesale!$F$7</definedName>
    <definedName name="output.fixed.ws.segment.3">FixedWholesale!$F$8</definedName>
    <definedName name="output.fixed.ws.segment.4">FixedWholesale!$F$9</definedName>
    <definedName name="output.interconnection.costs.all">IC!$F$4</definedName>
    <definedName name="output.interconnection.costs.segment.1">IC!$F$5</definedName>
    <definedName name="output.interconnection.costs.segment.1.offers">IC!$F$869:$F$903</definedName>
    <definedName name="output.interconnection.costs.segment.2">IC!$F$6</definedName>
    <definedName name="output.interconnection.costs.segment.2.offers">IC!$F$909:$F$943</definedName>
    <definedName name="output.interconnection.costs.segment.3">IC!$F$7</definedName>
    <definedName name="output.interconnection.costs.segment.3.offers">IC!$F$949:$F$983</definedName>
    <definedName name="output.interconnection.costs.segment.4">IC!$F$8</definedName>
    <definedName name="output.interconnection.costs.segment.4.offers">IC!$F$989:$F$1023</definedName>
    <definedName name="output.retail.costs.all">InRetailCosts!$E$4</definedName>
    <definedName name="output.retail.costs.segment.1">InRetailCosts!$E$5</definedName>
    <definedName name="output.retail.costs.segment.2">InRetailCosts!$E$6</definedName>
    <definedName name="output.retail.costs.segment.3">InRetailCosts!$E$7</definedName>
    <definedName name="output.retail.costs.segment.4">InRetailCosts!$E$8</definedName>
    <definedName name="output.revenue.all">Revenues!$F$6</definedName>
    <definedName name="output.revenue.segment.1">Revenues!$F$7</definedName>
    <definedName name="output.revenue.segment.1.offers">Revenues!$F$18:$F$52</definedName>
    <definedName name="output.revenue.segment.2">Revenues!$F$8</definedName>
    <definedName name="output.revenue.segment.2.offers">Revenues!$F$176:$F$210</definedName>
    <definedName name="output.revenue.segment.3">Revenues!$F$9</definedName>
    <definedName name="output.revenue.segment.3.offers">Revenues!$F$334:$F$368</definedName>
    <definedName name="output.revenue.segment.4">Revenues!$F$10</definedName>
    <definedName name="output.revenue.segment.4.offers">Revenues!$F$492:$F$526</definedName>
    <definedName name="output.wholesale.costs.all">Wholesale!$F$4</definedName>
    <definedName name="output.wholesale.costs.segment.1">Wholesale!$F$5</definedName>
    <definedName name="output.wholesale.costs.segment.1.offers">Wholesale!$F$260:$F$294</definedName>
    <definedName name="output.wholesale.costs.segment.2">Wholesale!$F$6</definedName>
    <definedName name="output.wholesale.costs.segment.2.offers">Wholesale!$F$498:$F$532</definedName>
    <definedName name="output.wholesale.costs.segment.3">Wholesale!$F$7</definedName>
    <definedName name="output.wholesale.costs.segment.3.offers">Wholesale!$F$736:$F$770</definedName>
    <definedName name="output.wholesale.costs.segment.4">Wholesale!$F$8</definedName>
    <definedName name="output.wholesale.costs.segment.4.offers">Wholesale!$F$974:$F$1008</definedName>
    <definedName name="per.sub.revenues.by.revenues.descriptions">InRevenues!$D$151:$AF$290</definedName>
    <definedName name="per.sub.volumes.by.demand.descriptions">InVolumes!$D$152:$AB$291</definedName>
    <definedName name="prop.mobile.handset.cost.by.segment">InRetailCosts!$E$59:$H$59</definedName>
    <definedName name="prop.mobile.handset.revenue.by.segment">InRetailCosts!$E$57:$H$57</definedName>
    <definedName name="prop.mobile.other.cost.by.segment">InRetailCosts!$E$60:$H$60</definedName>
    <definedName name="prop.mobile.other.revenue.by.segment">InRetailCosts!$E$58:$H$58</definedName>
    <definedName name="retail.cost.trend.chosen">Control!$D$30</definedName>
    <definedName name="retail.market.share.active">Control!$D$22</definedName>
    <definedName name="retail.number.subscribers.test">Control!$D$23</definedName>
    <definedName name="retail.number.subscribers.test.segment.all">Control!$D$24:$D$27</definedName>
    <definedName name="retail.number.subscribers.test.segment1">Control!$D$24</definedName>
    <definedName name="retail.number.subscribers.test.segment2">Control!$D$25</definedName>
    <definedName name="retail.number.subscribers.test.segment3">Control!$D$26</definedName>
    <definedName name="retail.number.subscribers.test.segment4">Control!$D$27</definedName>
    <definedName name="revenue.descriptions">InRevenues!$D$6:$AF$6</definedName>
    <definedName name="revenue.descriptions.short">InRevenues!$D$150:$AF$150</definedName>
    <definedName name="revenues.by.revenues.descriptions">InRevenues!$D$7:$AF$146</definedName>
    <definedName name="Roaming.IC">InWholesaleIC!$F$195:$N$195</definedName>
    <definedName name="seconds.per.hour">3600</definedName>
    <definedName name="seconds.per.minute">60</definedName>
    <definedName name="segment.split">InLists!$C$84:$C$87</definedName>
    <definedName name="segments">InLists!$B$84:$B$87</definedName>
    <definedName name="SIM.fee">InWholesaleIC!$F$11</definedName>
    <definedName name="SMS.destination.plus.in">InLists!$D$41:$D$47</definedName>
    <definedName name="SMS.termination.rates.from.other.operators">InWholesaleIC!$O$167</definedName>
    <definedName name="space">InLists!$B$266</definedName>
    <definedName name="spare">"&lt;Spare&gt;"</definedName>
    <definedName name="start.date">InRetailCosts!$D$64</definedName>
    <definedName name="subscribers.aop">InVolumes!$D$7:$D$146</definedName>
    <definedName name="subscription.split.segment.1">InLists!$C$93:$C$127</definedName>
    <definedName name="subscription.split.segment.2">InLists!$C$132:$C$166</definedName>
    <definedName name="subscription.split.segment.3">InLists!$C$171:$C$205</definedName>
    <definedName name="subscription.split.segment.4">InLists!$C$210:$C$244</definedName>
    <definedName name="telenor.retail.segment.1.subscribers">InRetailCosts!$E$44</definedName>
    <definedName name="telenor.retail.segment.2.subscribers">InRetailCosts!$F$44</definedName>
    <definedName name="telenor.retail.segment.3.subscribers">InRetailCosts!$G$44</definedName>
    <definedName name="telenor.retail.segment.4.subscribers">InRetailCosts!$H$44</definedName>
    <definedName name="telenor.retail.subscribers">InRetailCosts!$D$44</definedName>
    <definedName name="thousand">1000</definedName>
    <definedName name="total.mobile.handsets.external.costs">InRetailCosts!$E$53</definedName>
    <definedName name="total.mobile.handsets.revenues">InRetailCosts!$E$51</definedName>
    <definedName name="total.other.additional.revenues">InRetailCosts!$E$52</definedName>
    <definedName name="total.other.external.costs">InRetailCosts!$E$54</definedName>
    <definedName name="VAS.IC">InWholesaleIC!$F$223:$H$223</definedName>
    <definedName name="voice.destination">InLists!$B$32:$B$37</definedName>
    <definedName name="voice.destination.domestic">InLists!$B$32:$B$34</definedName>
    <definedName name="voice.destination.plus.in">InLists!$B$41:$B$47</definedName>
    <definedName name="voice.termination.rates.from.other.operators">InWholesaleIC!$N$167</definedName>
    <definedName name="volumes.by.demand.descriptions">InVolumes!$D$7:$AB$146</definedName>
    <definedName name="wholesale.data.tiers">InLists!$B$57:$B$65</definedName>
    <definedName name="wholesale.offer.selected">Control!$D$20</definedName>
    <definedName name="wholesale.offer.type.selected">Control!$D$19</definedName>
    <definedName name="wholesale.offer.types">InLists!$B$51:$B$53</definedName>
    <definedName name="wholesale.offers">InLists!$D$4:$D$23</definedName>
    <definedName name="wholesale.offers.mkt.share">InLists!$C$4:$C$23</definedName>
    <definedName name="wholesale.offers.type">InLists!$B$4:$B$23</definedName>
    <definedName name="Workbook.Author">'C'!$B$14</definedName>
    <definedName name="Workbook.Objective">'C'!$B$6</definedName>
    <definedName name="Workbook.Status">'C'!$B$9</definedName>
    <definedName name="Workbook.Title">'C'!$B$5</definedName>
    <definedName name="Workbook.Version">'C'!$B$8</definedName>
    <definedName name="WS.access.fees">InWholesaleIC!$H$11:$M$11</definedName>
    <definedName name="WS.data">InWholesaleIC!$F$92:$N$92,InWholesaleIC!$P$92:$X$92,InWholesaleIC!$Z$92:$AH$92</definedName>
    <definedName name="WS.SMS.traffic">InWholesaleIC!$F$65:$L$65</definedName>
    <definedName name="WS.voice.traffic">InWholesaleIC!$F$38:$L$38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1" i="79" l="1"/>
  <c r="E71" i="79"/>
  <c r="G66" i="79"/>
  <c r="F66" i="79"/>
  <c r="D66" i="79"/>
  <c r="A65" i="79"/>
  <c r="D69" i="79" s="1"/>
  <c r="E15" i="79"/>
  <c r="D67" i="79" l="1"/>
  <c r="D68" i="79"/>
  <c r="C51" i="79" a="1"/>
  <c r="C57" i="79" l="1" a="1"/>
  <c r="C52" i="79"/>
  <c r="C57" i="79" l="1"/>
  <c r="C58" i="79"/>
  <c r="C54" i="79"/>
  <c r="C51" i="79"/>
  <c r="C53" i="79"/>
  <c r="C59" i="79" l="1"/>
  <c r="C60" i="79"/>
  <c r="G790" i="54" l="1"/>
  <c r="F744" i="54" l="1"/>
  <c r="F790" i="54"/>
  <c r="F652" i="54"/>
  <c r="F698" i="54"/>
  <c r="G699" i="54"/>
  <c r="G653" i="54"/>
  <c r="G791" i="54"/>
  <c r="G745" i="54"/>
  <c r="F699" i="54"/>
  <c r="F791" i="54"/>
  <c r="F745" i="54"/>
  <c r="F653" i="54"/>
  <c r="G698" i="54"/>
  <c r="G652" i="54"/>
  <c r="G744" i="54"/>
  <c r="C28" i="51" l="1"/>
  <c r="C27" i="51" l="1"/>
  <c r="F29" i="49" l="1"/>
  <c r="P36" i="49" l="1" a="1"/>
  <c r="P36" i="49" s="1"/>
  <c r="O38" i="49"/>
  <c r="O39" i="49"/>
  <c r="O40" i="49"/>
  <c r="O41" i="49"/>
  <c r="O43" i="49"/>
  <c r="O44" i="49"/>
  <c r="O80" i="49"/>
  <c r="O81" i="49"/>
  <c r="O82" i="49"/>
  <c r="O83" i="49"/>
  <c r="O85" i="49"/>
  <c r="O86" i="49"/>
  <c r="S36" i="49" l="1"/>
  <c r="R36" i="49"/>
  <c r="Q36" i="49"/>
  <c r="E209" i="51" l="1" a="1"/>
  <c r="H209" i="51" s="1"/>
  <c r="E170" i="51" a="1"/>
  <c r="E170" i="51" s="1"/>
  <c r="E131" i="51" a="1"/>
  <c r="H131" i="51" s="1"/>
  <c r="E92" i="51" a="1"/>
  <c r="F92" i="51" s="1"/>
  <c r="E92" i="51" l="1"/>
  <c r="F170" i="51"/>
  <c r="G170" i="51"/>
  <c r="F209" i="51"/>
  <c r="G209" i="51"/>
  <c r="H92" i="51"/>
  <c r="G92" i="51"/>
  <c r="H170" i="51"/>
  <c r="E209" i="51"/>
  <c r="E131" i="51"/>
  <c r="F131" i="51"/>
  <c r="G131" i="51"/>
  <c r="Z90" i="68" l="1"/>
  <c r="P90" i="68"/>
  <c r="F90" i="68"/>
  <c r="Z91" i="68" l="1" a="1"/>
  <c r="P91" i="68" a="1"/>
  <c r="F91" i="68" a="1"/>
  <c r="B90" i="51"/>
  <c r="K91" i="68" l="1"/>
  <c r="J91" i="68"/>
  <c r="H91" i="68"/>
  <c r="M91" i="68"/>
  <c r="I91" i="68"/>
  <c r="L91" i="68"/>
  <c r="N91" i="68"/>
  <c r="F91" i="68"/>
  <c r="G91" i="68"/>
  <c r="W91" i="68"/>
  <c r="Q91" i="68"/>
  <c r="U91" i="68"/>
  <c r="R91" i="68"/>
  <c r="P91" i="68"/>
  <c r="T91" i="68"/>
  <c r="V91" i="68"/>
  <c r="X91" i="68"/>
  <c r="S91" i="68"/>
  <c r="AH91" i="68"/>
  <c r="AG91" i="68"/>
  <c r="AD91" i="68"/>
  <c r="Z91" i="68"/>
  <c r="AA91" i="68"/>
  <c r="AE91" i="68"/>
  <c r="AB91" i="68"/>
  <c r="AC91" i="68"/>
  <c r="AF91" i="68"/>
  <c r="D19" i="79" l="1"/>
  <c r="D18" i="79"/>
  <c r="D17" i="79"/>
  <c r="D21" i="79" l="1"/>
  <c r="E19" i="79" l="1"/>
  <c r="E18" i="79"/>
  <c r="E17" i="79"/>
  <c r="E21" i="79" l="1"/>
  <c r="F64" i="79" l="1"/>
  <c r="F17" i="79"/>
  <c r="F77" i="79" l="1"/>
  <c r="G77" i="79" s="1"/>
  <c r="G71" i="79"/>
  <c r="F76" i="79"/>
  <c r="G76" i="79" s="1"/>
  <c r="F69" i="79"/>
  <c r="G69" i="79" s="1"/>
  <c r="F75" i="79"/>
  <c r="G75" i="79" s="1"/>
  <c r="F68" i="79"/>
  <c r="G68" i="79" s="1"/>
  <c r="F74" i="79"/>
  <c r="G74" i="79" s="1"/>
  <c r="F67" i="79"/>
  <c r="G67" i="79" s="1"/>
  <c r="F18" i="79"/>
  <c r="F19" i="79"/>
  <c r="D46" i="79"/>
  <c r="C84" i="51" s="1"/>
  <c r="D44" i="79"/>
  <c r="C85" i="51" l="1"/>
  <c r="C86" i="51"/>
  <c r="C87" i="51"/>
  <c r="F21" i="79"/>
  <c r="H71" i="79"/>
  <c r="D16" i="49" l="1"/>
  <c r="D18" i="49"/>
  <c r="D22" i="49" l="1"/>
  <c r="D23" i="49" l="1"/>
  <c r="D24" i="49"/>
  <c r="H640" i="67" a="1"/>
  <c r="N640" i="67" s="1"/>
  <c r="H602" i="67" a="1"/>
  <c r="P602" i="67" s="1"/>
  <c r="H598" i="67" a="1"/>
  <c r="P598" i="67" s="1"/>
  <c r="H558" i="67" a="1"/>
  <c r="N558" i="67" s="1"/>
  <c r="H520" i="67" a="1"/>
  <c r="P520" i="67" s="1"/>
  <c r="H516" i="67" a="1"/>
  <c r="P516" i="67" s="1"/>
  <c r="H476" i="67" a="1"/>
  <c r="P476" i="67" s="1"/>
  <c r="H438" i="67" a="1"/>
  <c r="N438" i="67" s="1"/>
  <c r="H434" i="67" a="1"/>
  <c r="P434" i="67" s="1"/>
  <c r="H394" i="67" a="1"/>
  <c r="P394" i="67" s="1"/>
  <c r="H356" i="67" a="1"/>
  <c r="P356" i="67" s="1"/>
  <c r="H352" i="67" a="1"/>
  <c r="H352" i="67" s="1"/>
  <c r="F194" i="68" a="1"/>
  <c r="F194" i="68" s="1"/>
  <c r="I434" i="67" l="1"/>
  <c r="I602" i="67"/>
  <c r="K438" i="67"/>
  <c r="O438" i="67"/>
  <c r="J434" i="67"/>
  <c r="H438" i="67"/>
  <c r="L438" i="67"/>
  <c r="P438" i="67"/>
  <c r="J602" i="67"/>
  <c r="M434" i="67"/>
  <c r="I438" i="67"/>
  <c r="M438" i="67"/>
  <c r="M602" i="67"/>
  <c r="N434" i="67"/>
  <c r="J438" i="67"/>
  <c r="N602" i="67"/>
  <c r="K640" i="67"/>
  <c r="O640" i="67"/>
  <c r="H640" i="67"/>
  <c r="L640" i="67"/>
  <c r="P640" i="67"/>
  <c r="I640" i="67"/>
  <c r="M640" i="67"/>
  <c r="J640" i="67"/>
  <c r="K602" i="67"/>
  <c r="O602" i="67"/>
  <c r="H602" i="67"/>
  <c r="L602" i="67"/>
  <c r="I598" i="67"/>
  <c r="M598" i="67"/>
  <c r="J598" i="67"/>
  <c r="N598" i="67"/>
  <c r="K598" i="67"/>
  <c r="O598" i="67"/>
  <c r="H598" i="67"/>
  <c r="L598" i="67"/>
  <c r="K558" i="67"/>
  <c r="O558" i="67"/>
  <c r="H558" i="67"/>
  <c r="L558" i="67"/>
  <c r="P558" i="67"/>
  <c r="I558" i="67"/>
  <c r="M558" i="67"/>
  <c r="J558" i="67"/>
  <c r="I520" i="67"/>
  <c r="M520" i="67"/>
  <c r="J520" i="67"/>
  <c r="N520" i="67"/>
  <c r="K520" i="67"/>
  <c r="O520" i="67"/>
  <c r="H520" i="67"/>
  <c r="L520" i="67"/>
  <c r="I516" i="67"/>
  <c r="M516" i="67"/>
  <c r="J516" i="67"/>
  <c r="N516" i="67"/>
  <c r="K516" i="67"/>
  <c r="O516" i="67"/>
  <c r="H516" i="67"/>
  <c r="L516" i="67"/>
  <c r="I476" i="67"/>
  <c r="M476" i="67"/>
  <c r="J476" i="67"/>
  <c r="N476" i="67"/>
  <c r="K476" i="67"/>
  <c r="O476" i="67"/>
  <c r="H476" i="67"/>
  <c r="L476" i="67"/>
  <c r="K434" i="67"/>
  <c r="O434" i="67"/>
  <c r="H434" i="67"/>
  <c r="L434" i="67"/>
  <c r="I356" i="67"/>
  <c r="M356" i="67"/>
  <c r="I394" i="67"/>
  <c r="M394" i="67"/>
  <c r="J394" i="67"/>
  <c r="N394" i="67"/>
  <c r="K394" i="67"/>
  <c r="O394" i="67"/>
  <c r="H394" i="67"/>
  <c r="L394" i="67"/>
  <c r="J356" i="67"/>
  <c r="N356" i="67"/>
  <c r="K356" i="67"/>
  <c r="O356" i="67"/>
  <c r="H356" i="67"/>
  <c r="L356" i="67"/>
  <c r="K352" i="67"/>
  <c r="J352" i="67"/>
  <c r="M352" i="67"/>
  <c r="I352" i="67"/>
  <c r="O352" i="67"/>
  <c r="N352" i="67"/>
  <c r="P352" i="67"/>
  <c r="L352" i="67"/>
  <c r="H194" i="68"/>
  <c r="K194" i="68"/>
  <c r="G194" i="68"/>
  <c r="M194" i="68"/>
  <c r="I194" i="68"/>
  <c r="L194" i="68"/>
  <c r="N194" i="68"/>
  <c r="J194" i="68"/>
  <c r="P519" i="67" l="1"/>
  <c r="I437" i="67"/>
  <c r="J437" i="67"/>
  <c r="K437" i="67"/>
  <c r="L437" i="67"/>
  <c r="I601" i="67"/>
  <c r="O355" i="67"/>
  <c r="M355" i="67"/>
  <c r="O519" i="67"/>
  <c r="M519" i="67"/>
  <c r="O601" i="67"/>
  <c r="I355" i="67"/>
  <c r="I519" i="67"/>
  <c r="L355" i="67"/>
  <c r="N355" i="67"/>
  <c r="L519" i="67"/>
  <c r="N519" i="67"/>
  <c r="L601" i="67"/>
  <c r="N601" i="67"/>
  <c r="M601" i="67"/>
  <c r="J601" i="67"/>
  <c r="K355" i="67"/>
  <c r="K519" i="67"/>
  <c r="K601" i="67"/>
  <c r="J355" i="67"/>
  <c r="J519" i="67"/>
  <c r="P601" i="67"/>
  <c r="P355" i="67"/>
  <c r="I788" i="54"/>
  <c r="I742" i="54"/>
  <c r="I745" i="54" l="1"/>
  <c r="J744" i="54"/>
  <c r="J745" i="54"/>
  <c r="I790" i="54"/>
  <c r="J790" i="54"/>
  <c r="J791" i="54"/>
  <c r="I791" i="54"/>
  <c r="I744" i="54"/>
  <c r="I746" i="54" l="1"/>
  <c r="I792" i="54"/>
  <c r="J746" i="54"/>
  <c r="K68" i="79" s="1"/>
  <c r="J792" i="54"/>
  <c r="K69" i="79" s="1"/>
  <c r="H131" i="78" l="1"/>
  <c r="E131" i="78"/>
  <c r="F130" i="78"/>
  <c r="G130" i="78" s="1"/>
  <c r="F129" i="78"/>
  <c r="G129" i="78" s="1"/>
  <c r="F128" i="78"/>
  <c r="B10" i="77"/>
  <c r="B9" i="77"/>
  <c r="B8" i="77"/>
  <c r="B6" i="77"/>
  <c r="B5" i="77"/>
  <c r="F131" i="78" l="1"/>
  <c r="D17" i="49"/>
  <c r="G128" i="78"/>
  <c r="G131" i="78" s="1"/>
  <c r="E135" i="78" l="1" a="1"/>
  <c r="H137" i="78" l="1"/>
  <c r="H136" i="78"/>
  <c r="H135" i="78"/>
  <c r="G137" i="78"/>
  <c r="G136" i="78"/>
  <c r="G135" i="78"/>
  <c r="F137" i="78"/>
  <c r="F136" i="78"/>
  <c r="F135" i="78"/>
  <c r="E137" i="78"/>
  <c r="E136" i="78"/>
  <c r="E135" i="78"/>
  <c r="H144" i="78" l="1"/>
  <c r="F144" i="78"/>
  <c r="G145" i="78"/>
  <c r="E138" i="78"/>
  <c r="F145" i="78"/>
  <c r="H138" i="78"/>
  <c r="H143" i="78"/>
  <c r="G138" i="78"/>
  <c r="G143" i="78"/>
  <c r="F138" i="78"/>
  <c r="F143" i="78"/>
  <c r="G144" i="78"/>
  <c r="H145" i="78"/>
  <c r="F146" i="78" l="1"/>
  <c r="G146" i="78"/>
  <c r="H146" i="78"/>
  <c r="C245" i="68" l="1" a="1"/>
  <c r="C246" i="68" s="1"/>
  <c r="C217" i="68" a="1"/>
  <c r="C218" i="68" s="1"/>
  <c r="C114" i="68" a="1"/>
  <c r="C114" i="68" s="1"/>
  <c r="C188" i="68" a="1"/>
  <c r="C189" i="68" s="1"/>
  <c r="C87" i="68" a="1"/>
  <c r="C88" i="68" s="1"/>
  <c r="C60" i="68" a="1"/>
  <c r="C61" i="68" s="1"/>
  <c r="C33" i="68" a="1"/>
  <c r="C34" i="68" s="1"/>
  <c r="C245" i="68" l="1"/>
  <c r="C217" i="68"/>
  <c r="C115" i="68"/>
  <c r="C188" i="68"/>
  <c r="C87" i="68"/>
  <c r="C60" i="68"/>
  <c r="C33" i="68"/>
  <c r="F21" i="67" a="1"/>
  <c r="J826" i="67" l="1" a="1"/>
  <c r="L826" i="67" s="1"/>
  <c r="J820" i="67" a="1"/>
  <c r="L820" i="67" s="1"/>
  <c r="J780" i="67" a="1"/>
  <c r="L780" i="67" s="1"/>
  <c r="J774" i="67" a="1"/>
  <c r="L774" i="67" s="1"/>
  <c r="J734" i="67" a="1"/>
  <c r="J734" i="67" s="1"/>
  <c r="J728" i="67" a="1"/>
  <c r="L728" i="67" s="1"/>
  <c r="F222" i="68" a="1"/>
  <c r="H222" i="68" s="1"/>
  <c r="J682" i="67" a="1"/>
  <c r="L682" i="67" s="1"/>
  <c r="J688" i="67" a="1"/>
  <c r="J688" i="67" s="1"/>
  <c r="J826" i="67" l="1"/>
  <c r="K826" i="67"/>
  <c r="J820" i="67"/>
  <c r="K820" i="67"/>
  <c r="J774" i="67"/>
  <c r="K774" i="67"/>
  <c r="J780" i="67"/>
  <c r="K780" i="67"/>
  <c r="L734" i="67"/>
  <c r="K734" i="67"/>
  <c r="J728" i="67"/>
  <c r="K728" i="67"/>
  <c r="L688" i="67"/>
  <c r="F222" i="68"/>
  <c r="G222" i="68"/>
  <c r="J682" i="67"/>
  <c r="K682" i="67"/>
  <c r="K688" i="67"/>
  <c r="D47" i="51" l="1"/>
  <c r="S395" i="53" l="1" a="1"/>
  <c r="T395" i="53" s="1"/>
  <c r="S278" i="53" a="1"/>
  <c r="T278" i="53" s="1"/>
  <c r="S44" i="53" a="1"/>
  <c r="T44" i="53" s="1"/>
  <c r="S161" i="53" a="1"/>
  <c r="T161" i="53" s="1"/>
  <c r="H608" i="54" a="1"/>
  <c r="J608" i="54" s="1"/>
  <c r="S569" i="54" a="1"/>
  <c r="O569" i="54" a="1"/>
  <c r="H569" i="54" a="1"/>
  <c r="K569" i="54" s="1"/>
  <c r="H530" i="54" a="1"/>
  <c r="J530" i="54" s="1"/>
  <c r="H372" i="54" a="1"/>
  <c r="J372" i="54" s="1"/>
  <c r="S411" i="54" a="1"/>
  <c r="U411" i="54" s="1"/>
  <c r="O411" i="54" a="1"/>
  <c r="Q411" i="54" s="1"/>
  <c r="H411" i="54" a="1"/>
  <c r="H450" i="54" a="1"/>
  <c r="J450" i="54" s="1"/>
  <c r="H292" i="54" a="1"/>
  <c r="J292" i="54" s="1"/>
  <c r="H134" i="54" a="1"/>
  <c r="H134" i="54" s="1"/>
  <c r="S253" i="54" a="1"/>
  <c r="U253" i="54" s="1"/>
  <c r="O253" i="54" a="1"/>
  <c r="Q253" i="54" s="1"/>
  <c r="H253" i="54" a="1"/>
  <c r="M253" i="54" s="1"/>
  <c r="H214" i="54" a="1"/>
  <c r="J214" i="54" s="1"/>
  <c r="H56" i="54" a="1"/>
  <c r="H56" i="54" s="1"/>
  <c r="S95" i="54" a="1"/>
  <c r="U95" i="54" s="1"/>
  <c r="O95" i="54" a="1"/>
  <c r="Q95" i="54" s="1"/>
  <c r="H95" i="54" a="1"/>
  <c r="M95" i="54" s="1"/>
  <c r="O395" i="53" a="1"/>
  <c r="Q395" i="53" s="1"/>
  <c r="G395" i="53" a="1"/>
  <c r="L395" i="53" s="1"/>
  <c r="O278" i="53" a="1"/>
  <c r="P278" i="53" s="1"/>
  <c r="G278" i="53" a="1"/>
  <c r="K278" i="53" s="1"/>
  <c r="O161" i="53" a="1"/>
  <c r="O161" i="53" s="1"/>
  <c r="G161" i="53" a="1"/>
  <c r="J161" i="53" s="1"/>
  <c r="O44" i="53" a="1"/>
  <c r="Q44" i="53" s="1"/>
  <c r="G44" i="53" a="1"/>
  <c r="I44" i="53" s="1"/>
  <c r="S44" i="53" l="1"/>
  <c r="S278" i="53"/>
  <c r="S395" i="53"/>
  <c r="S161" i="53"/>
  <c r="L278" i="53"/>
  <c r="I395" i="53"/>
  <c r="Q161" i="53"/>
  <c r="Q278" i="53"/>
  <c r="H569" i="54"/>
  <c r="M569" i="54"/>
  <c r="I569" i="54"/>
  <c r="J569" i="54"/>
  <c r="L569" i="54"/>
  <c r="H608" i="54"/>
  <c r="I608" i="54"/>
  <c r="Q569" i="54"/>
  <c r="O569" i="54"/>
  <c r="P569" i="54"/>
  <c r="U569" i="54"/>
  <c r="S569" i="54"/>
  <c r="T569" i="54"/>
  <c r="H530" i="54"/>
  <c r="I530" i="54"/>
  <c r="M411" i="54"/>
  <c r="J411" i="54"/>
  <c r="H372" i="54"/>
  <c r="I372" i="54"/>
  <c r="K411" i="54"/>
  <c r="O411" i="54"/>
  <c r="S411" i="54"/>
  <c r="H411" i="54"/>
  <c r="L411" i="54"/>
  <c r="P411" i="54"/>
  <c r="T411" i="54"/>
  <c r="I411" i="54"/>
  <c r="H450" i="54"/>
  <c r="I450" i="54"/>
  <c r="H292" i="54"/>
  <c r="I292" i="54"/>
  <c r="J134" i="54"/>
  <c r="I134" i="54"/>
  <c r="J253" i="54"/>
  <c r="S253" i="54"/>
  <c r="T253" i="54"/>
  <c r="O253" i="54"/>
  <c r="P253" i="54"/>
  <c r="K253" i="54"/>
  <c r="H253" i="54"/>
  <c r="L253" i="54"/>
  <c r="I253" i="54"/>
  <c r="H214" i="54"/>
  <c r="I214" i="54"/>
  <c r="G161" i="53"/>
  <c r="L161" i="53"/>
  <c r="H161" i="53"/>
  <c r="H278" i="53"/>
  <c r="K161" i="53"/>
  <c r="O44" i="53"/>
  <c r="I161" i="53"/>
  <c r="P161" i="53"/>
  <c r="I278" i="53"/>
  <c r="J95" i="54"/>
  <c r="J56" i="54"/>
  <c r="I56" i="54"/>
  <c r="K95" i="54"/>
  <c r="O95" i="54"/>
  <c r="S95" i="54"/>
  <c r="H95" i="54"/>
  <c r="L95" i="54"/>
  <c r="P95" i="54"/>
  <c r="T95" i="54"/>
  <c r="I95" i="54"/>
  <c r="J44" i="53"/>
  <c r="G44" i="53"/>
  <c r="K44" i="53"/>
  <c r="P44" i="53"/>
  <c r="J395" i="53"/>
  <c r="O395" i="53"/>
  <c r="H44" i="53"/>
  <c r="L44" i="53"/>
  <c r="J278" i="53"/>
  <c r="O278" i="53"/>
  <c r="G395" i="53"/>
  <c r="K395" i="53"/>
  <c r="P395" i="53"/>
  <c r="G278" i="53"/>
  <c r="H395" i="53"/>
  <c r="J732" i="67" l="1"/>
  <c r="J778" i="67"/>
  <c r="J686" i="67"/>
  <c r="H601" i="67"/>
  <c r="K824" i="67"/>
  <c r="M437" i="67"/>
  <c r="K732" i="67"/>
  <c r="P437" i="67"/>
  <c r="H355" i="67"/>
  <c r="K778" i="67"/>
  <c r="N437" i="67"/>
  <c r="O437" i="67"/>
  <c r="K686" i="67"/>
  <c r="J824" i="67"/>
  <c r="H437" i="67"/>
  <c r="H519" i="67"/>
  <c r="C224" i="68" a="1"/>
  <c r="C243" i="68" s="1"/>
  <c r="C196" i="68" a="1"/>
  <c r="C215" i="68" s="1"/>
  <c r="C167" i="68" a="1"/>
  <c r="C168" i="68" s="1"/>
  <c r="C224" i="68" l="1"/>
  <c r="C228" i="68"/>
  <c r="C232" i="68"/>
  <c r="C236" i="68"/>
  <c r="C240" i="68"/>
  <c r="C225" i="68"/>
  <c r="C229" i="68"/>
  <c r="C233" i="68"/>
  <c r="C237" i="68"/>
  <c r="C241" i="68"/>
  <c r="C226" i="68"/>
  <c r="C230" i="68"/>
  <c r="C234" i="68"/>
  <c r="C238" i="68"/>
  <c r="C242" i="68"/>
  <c r="C227" i="68"/>
  <c r="C231" i="68"/>
  <c r="C235" i="68"/>
  <c r="C239" i="68"/>
  <c r="C198" i="68"/>
  <c r="C206" i="68"/>
  <c r="C196" i="68"/>
  <c r="C200" i="68"/>
  <c r="C204" i="68"/>
  <c r="C208" i="68"/>
  <c r="C212" i="68"/>
  <c r="C197" i="68"/>
  <c r="C201" i="68"/>
  <c r="C205" i="68"/>
  <c r="C209" i="68"/>
  <c r="C213" i="68"/>
  <c r="C202" i="68"/>
  <c r="C210" i="68"/>
  <c r="C214" i="68"/>
  <c r="C199" i="68"/>
  <c r="C203" i="68"/>
  <c r="C207" i="68"/>
  <c r="C211" i="68"/>
  <c r="C185" i="68"/>
  <c r="C181" i="68"/>
  <c r="C177" i="68"/>
  <c r="C173" i="68"/>
  <c r="C169" i="68"/>
  <c r="C183" i="68"/>
  <c r="C179" i="68"/>
  <c r="C175" i="68"/>
  <c r="C171" i="68"/>
  <c r="C167" i="68"/>
  <c r="C186" i="68"/>
  <c r="C182" i="68"/>
  <c r="C178" i="68"/>
  <c r="C174" i="68"/>
  <c r="C170" i="68"/>
  <c r="C184" i="68"/>
  <c r="C180" i="68"/>
  <c r="C176" i="68"/>
  <c r="C172" i="68"/>
  <c r="BB119" i="68" l="1" a="1"/>
  <c r="BU119" i="68" s="1"/>
  <c r="AG119" i="68" a="1"/>
  <c r="AZ119" i="68" s="1"/>
  <c r="L119" i="68" a="1"/>
  <c r="L119" i="68" s="1"/>
  <c r="C12" i="68" a="1"/>
  <c r="C29" i="68" s="1"/>
  <c r="C39" i="68" a="1"/>
  <c r="C58" i="68" s="1"/>
  <c r="C66" i="68" a="1"/>
  <c r="C85" i="68" s="1"/>
  <c r="C93" i="68" a="1"/>
  <c r="C112" i="68" s="1"/>
  <c r="BB119" i="68" l="1"/>
  <c r="BJ119" i="68"/>
  <c r="BR119" i="68"/>
  <c r="BC119" i="68"/>
  <c r="BG119" i="68"/>
  <c r="BK119" i="68"/>
  <c r="BO119" i="68"/>
  <c r="BS119" i="68"/>
  <c r="BF119" i="68"/>
  <c r="BN119" i="68"/>
  <c r="BD119" i="68"/>
  <c r="BH119" i="68"/>
  <c r="BL119" i="68"/>
  <c r="BP119" i="68"/>
  <c r="BT119" i="68"/>
  <c r="BE119" i="68"/>
  <c r="BI119" i="68"/>
  <c r="BM119" i="68"/>
  <c r="BQ119" i="68"/>
  <c r="AG119" i="68"/>
  <c r="AK119" i="68"/>
  <c r="AO119" i="68"/>
  <c r="AS119" i="68"/>
  <c r="AW119" i="68"/>
  <c r="AH119" i="68"/>
  <c r="AL119" i="68"/>
  <c r="AP119" i="68"/>
  <c r="AT119" i="68"/>
  <c r="AX119" i="68"/>
  <c r="AI119" i="68"/>
  <c r="AM119" i="68"/>
  <c r="AQ119" i="68"/>
  <c r="AU119" i="68"/>
  <c r="AY119" i="68"/>
  <c r="AJ119" i="68"/>
  <c r="AN119" i="68"/>
  <c r="AR119" i="68"/>
  <c r="AV119" i="68"/>
  <c r="AD119" i="68"/>
  <c r="Z119" i="68"/>
  <c r="V119" i="68"/>
  <c r="R119" i="68"/>
  <c r="N119" i="68"/>
  <c r="AE119" i="68"/>
  <c r="AA119" i="68"/>
  <c r="W119" i="68"/>
  <c r="S119" i="68"/>
  <c r="O119" i="68"/>
  <c r="AC119" i="68"/>
  <c r="Y119" i="68"/>
  <c r="U119" i="68"/>
  <c r="Q119" i="68"/>
  <c r="M119" i="68"/>
  <c r="AB119" i="68"/>
  <c r="X119" i="68"/>
  <c r="T119" i="68"/>
  <c r="P119" i="68"/>
  <c r="C14" i="68"/>
  <c r="C18" i="68"/>
  <c r="C22" i="68"/>
  <c r="C26" i="68"/>
  <c r="C30" i="68"/>
  <c r="C15" i="68"/>
  <c r="C23" i="68"/>
  <c r="C31" i="68"/>
  <c r="C12" i="68"/>
  <c r="C16" i="68"/>
  <c r="C20" i="68"/>
  <c r="C24" i="68"/>
  <c r="C28" i="68"/>
  <c r="C19" i="68"/>
  <c r="C27" i="68"/>
  <c r="C13" i="68"/>
  <c r="C17" i="68"/>
  <c r="C21" i="68"/>
  <c r="C25" i="68"/>
  <c r="C39" i="68"/>
  <c r="C43" i="68"/>
  <c r="C47" i="68"/>
  <c r="C51" i="68"/>
  <c r="C55" i="68"/>
  <c r="C40" i="68"/>
  <c r="C44" i="68"/>
  <c r="C48" i="68"/>
  <c r="C52" i="68"/>
  <c r="C56" i="68"/>
  <c r="C41" i="68"/>
  <c r="C45" i="68"/>
  <c r="C49" i="68"/>
  <c r="C53" i="68"/>
  <c r="C57" i="68"/>
  <c r="C42" i="68"/>
  <c r="C46" i="68"/>
  <c r="C50" i="68"/>
  <c r="C54" i="68"/>
  <c r="C70" i="68"/>
  <c r="C74" i="68"/>
  <c r="C82" i="68"/>
  <c r="C67" i="68"/>
  <c r="C71" i="68"/>
  <c r="C75" i="68"/>
  <c r="C79" i="68"/>
  <c r="C83" i="68"/>
  <c r="C66" i="68"/>
  <c r="C78" i="68"/>
  <c r="C68" i="68"/>
  <c r="C72" i="68"/>
  <c r="C76" i="68"/>
  <c r="C80" i="68"/>
  <c r="C84" i="68"/>
  <c r="C69" i="68"/>
  <c r="C73" i="68"/>
  <c r="C77" i="68"/>
  <c r="C81" i="68"/>
  <c r="C97" i="68"/>
  <c r="C105" i="68"/>
  <c r="C98" i="68"/>
  <c r="C102" i="68"/>
  <c r="C106" i="68"/>
  <c r="C110" i="68"/>
  <c r="C93" i="68"/>
  <c r="C101" i="68"/>
  <c r="C109" i="68"/>
  <c r="C94" i="68"/>
  <c r="C95" i="68"/>
  <c r="C99" i="68"/>
  <c r="C103" i="68"/>
  <c r="C107" i="68"/>
  <c r="C111" i="68"/>
  <c r="C96" i="68"/>
  <c r="C100" i="68"/>
  <c r="C104" i="68"/>
  <c r="C108" i="68"/>
  <c r="G932" i="59" l="1" a="1"/>
  <c r="M932" i="59" s="1"/>
  <c r="M931" i="59" s="1"/>
  <c r="B246" i="68"/>
  <c r="B245" i="68"/>
  <c r="B218" i="68"/>
  <c r="B217" i="68"/>
  <c r="B114" i="68"/>
  <c r="B115" i="68"/>
  <c r="B189" i="68"/>
  <c r="B188" i="68"/>
  <c r="B88" i="68"/>
  <c r="B87" i="68"/>
  <c r="B61" i="68"/>
  <c r="B60" i="68"/>
  <c r="B34" i="68"/>
  <c r="G34" i="68" s="1"/>
  <c r="B33" i="68"/>
  <c r="G218" i="59" a="1"/>
  <c r="G694" i="59" a="1"/>
  <c r="L310" i="67" a="1"/>
  <c r="L267" i="67" a="1"/>
  <c r="H226" i="67" a="1"/>
  <c r="H183" i="67" a="1"/>
  <c r="H142" i="67" a="1"/>
  <c r="H99" i="67" a="1"/>
  <c r="L19" i="67" a="1"/>
  <c r="J165" i="68" a="1"/>
  <c r="L226" i="67" a="1"/>
  <c r="L99" i="67" a="1"/>
  <c r="H310" i="67" a="1"/>
  <c r="H267" i="67" a="1"/>
  <c r="L187" i="67" a="1"/>
  <c r="L103" i="67" a="1"/>
  <c r="L58" i="67" a="1"/>
  <c r="H19" i="67" a="1"/>
  <c r="F165" i="68" a="1"/>
  <c r="L142" i="67" a="1"/>
  <c r="L271" i="67" a="1"/>
  <c r="H187" i="67" a="1"/>
  <c r="H103" i="67" a="1"/>
  <c r="H58" i="67" a="1"/>
  <c r="L15" i="67" a="1"/>
  <c r="H271" i="67" a="1"/>
  <c r="L183" i="67" a="1"/>
  <c r="H15" i="67" a="1"/>
  <c r="G1088" i="59" a="1"/>
  <c r="G374" i="59" a="1"/>
  <c r="G456" i="59" a="1"/>
  <c r="G850" i="59" a="1"/>
  <c r="B41" i="51" a="1"/>
  <c r="G612" i="59" a="1"/>
  <c r="D439" i="65" a="1"/>
  <c r="H439" i="65" s="1"/>
  <c r="O123" i="53" a="1"/>
  <c r="P123" i="53" s="1"/>
  <c r="D295" i="65" a="1"/>
  <c r="G357" i="53" a="1"/>
  <c r="G30" i="59" a="1"/>
  <c r="S115" i="68" l="1"/>
  <c r="AH115" i="68"/>
  <c r="R115" i="68"/>
  <c r="N115" i="68"/>
  <c r="AG115" i="68"/>
  <c r="Q115" i="68"/>
  <c r="M115" i="68"/>
  <c r="AF115" i="68"/>
  <c r="L115" i="68"/>
  <c r="AE115" i="68"/>
  <c r="K115" i="68"/>
  <c r="AD115" i="68"/>
  <c r="J115" i="68"/>
  <c r="AC115" i="68"/>
  <c r="I115" i="68"/>
  <c r="AB115" i="68"/>
  <c r="X115" i="68"/>
  <c r="H115" i="68"/>
  <c r="AA115" i="68"/>
  <c r="W115" i="68"/>
  <c r="G115" i="68"/>
  <c r="Z115" i="68"/>
  <c r="V115" i="68"/>
  <c r="F115" i="68"/>
  <c r="U115" i="68"/>
  <c r="T115" i="68"/>
  <c r="P115" i="68"/>
  <c r="AF114" i="68"/>
  <c r="P114" i="68"/>
  <c r="L114" i="68"/>
  <c r="AE114" i="68"/>
  <c r="K114" i="68"/>
  <c r="AD114" i="68"/>
  <c r="J114" i="68"/>
  <c r="AC114" i="68"/>
  <c r="X114" i="68"/>
  <c r="I114" i="68"/>
  <c r="AB114" i="68"/>
  <c r="W114" i="68"/>
  <c r="H114" i="68"/>
  <c r="AA114" i="68"/>
  <c r="V114" i="68"/>
  <c r="G114" i="68"/>
  <c r="Z114" i="68"/>
  <c r="U114" i="68"/>
  <c r="F114" i="68"/>
  <c r="T114" i="68"/>
  <c r="S114" i="68"/>
  <c r="R114" i="68"/>
  <c r="AH114" i="68"/>
  <c r="Q114" i="68"/>
  <c r="N114" i="68"/>
  <c r="AG114" i="68"/>
  <c r="M114" i="68"/>
  <c r="N218" i="68"/>
  <c r="N217" i="68"/>
  <c r="G33" i="68"/>
  <c r="F33" i="68"/>
  <c r="G932" i="59"/>
  <c r="G931" i="59" s="1"/>
  <c r="I932" i="59"/>
  <c r="I931" i="59" s="1"/>
  <c r="N932" i="59"/>
  <c r="N931" i="59" s="1"/>
  <c r="O932" i="59"/>
  <c r="O931" i="59" s="1"/>
  <c r="K932" i="59"/>
  <c r="K931" i="59" s="1"/>
  <c r="J932" i="59"/>
  <c r="J931" i="59" s="1"/>
  <c r="L932" i="59"/>
  <c r="L931" i="59" s="1"/>
  <c r="H932" i="59"/>
  <c r="H931" i="59" s="1"/>
  <c r="G246" i="68"/>
  <c r="H246" i="68"/>
  <c r="P188" i="68"/>
  <c r="I188" i="68"/>
  <c r="J188" i="68"/>
  <c r="P189" i="68"/>
  <c r="N189" i="68"/>
  <c r="O189" i="68"/>
  <c r="G189" i="68"/>
  <c r="L189" i="68"/>
  <c r="I189" i="68"/>
  <c r="H189" i="68"/>
  <c r="J189" i="68"/>
  <c r="K189" i="68"/>
  <c r="F189" i="68"/>
  <c r="G87" i="68"/>
  <c r="L87" i="68"/>
  <c r="J87" i="68"/>
  <c r="H87" i="68"/>
  <c r="F87" i="68"/>
  <c r="K87" i="68"/>
  <c r="I87" i="68"/>
  <c r="G88" i="68"/>
  <c r="L88" i="68"/>
  <c r="I88" i="68"/>
  <c r="H88" i="68"/>
  <c r="J88" i="68"/>
  <c r="K88" i="68"/>
  <c r="F88" i="68"/>
  <c r="I60" i="68"/>
  <c r="J60" i="68"/>
  <c r="F60" i="68"/>
  <c r="L60" i="68"/>
  <c r="H60" i="68"/>
  <c r="K60" i="68"/>
  <c r="G60" i="68"/>
  <c r="K33" i="68"/>
  <c r="L33" i="68"/>
  <c r="H33" i="68"/>
  <c r="J33" i="68"/>
  <c r="M33" i="68"/>
  <c r="I33" i="68"/>
  <c r="M34" i="68"/>
  <c r="I34" i="68"/>
  <c r="F34" i="68"/>
  <c r="J34" i="68"/>
  <c r="L34" i="68"/>
  <c r="H34" i="68"/>
  <c r="K34" i="68"/>
  <c r="J61" i="68"/>
  <c r="F61" i="68"/>
  <c r="K61" i="68"/>
  <c r="G61" i="68"/>
  <c r="L61" i="68"/>
  <c r="H61" i="68"/>
  <c r="O456" i="59"/>
  <c r="O455" i="59" s="1"/>
  <c r="I456" i="59"/>
  <c r="I455" i="59" s="1"/>
  <c r="G456" i="59"/>
  <c r="G455" i="59" s="1"/>
  <c r="N456" i="59"/>
  <c r="N455" i="59" s="1"/>
  <c r="M456" i="59"/>
  <c r="M455" i="59" s="1"/>
  <c r="K456" i="59"/>
  <c r="K455" i="59" s="1"/>
  <c r="L456" i="59"/>
  <c r="L455" i="59" s="1"/>
  <c r="H456" i="59"/>
  <c r="H455" i="59" s="1"/>
  <c r="J456" i="59"/>
  <c r="J455" i="59" s="1"/>
  <c r="L183" i="67"/>
  <c r="M183" i="67"/>
  <c r="N183" i="67"/>
  <c r="J103" i="67"/>
  <c r="H103" i="67"/>
  <c r="I103" i="67"/>
  <c r="G165" i="68"/>
  <c r="F165" i="68"/>
  <c r="H165" i="68"/>
  <c r="N187" i="67"/>
  <c r="M187" i="67"/>
  <c r="L187" i="67"/>
  <c r="N226" i="67"/>
  <c r="M226" i="67"/>
  <c r="L226" i="67"/>
  <c r="J142" i="67"/>
  <c r="H142" i="67"/>
  <c r="I142" i="67"/>
  <c r="N310" i="67"/>
  <c r="M310" i="67"/>
  <c r="L310" i="67"/>
  <c r="M612" i="59"/>
  <c r="J612" i="59"/>
  <c r="O612" i="59"/>
  <c r="N612" i="59"/>
  <c r="H612" i="59"/>
  <c r="K612" i="59"/>
  <c r="I612" i="59"/>
  <c r="G612" i="59"/>
  <c r="L612" i="59"/>
  <c r="O374" i="59"/>
  <c r="M374" i="59"/>
  <c r="G374" i="59"/>
  <c r="J374" i="59"/>
  <c r="K374" i="59"/>
  <c r="I374" i="59"/>
  <c r="L374" i="59"/>
  <c r="N374" i="59"/>
  <c r="H374" i="59"/>
  <c r="J271" i="67"/>
  <c r="H271" i="67"/>
  <c r="I271" i="67"/>
  <c r="J187" i="67"/>
  <c r="H187" i="67"/>
  <c r="I187" i="67"/>
  <c r="J19" i="67"/>
  <c r="I19" i="67"/>
  <c r="H19" i="67"/>
  <c r="J267" i="67"/>
  <c r="I267" i="67"/>
  <c r="H267" i="67"/>
  <c r="L165" i="68"/>
  <c r="K165" i="68"/>
  <c r="J165" i="68"/>
  <c r="H183" i="67"/>
  <c r="I183" i="67"/>
  <c r="J183" i="67"/>
  <c r="O694" i="59"/>
  <c r="O693" i="59" s="1"/>
  <c r="L694" i="59"/>
  <c r="L693" i="59" s="1"/>
  <c r="N694" i="59"/>
  <c r="N693" i="59" s="1"/>
  <c r="I694" i="59"/>
  <c r="I693" i="59" s="1"/>
  <c r="G694" i="59"/>
  <c r="G693" i="59" s="1"/>
  <c r="H694" i="59"/>
  <c r="H693" i="59" s="1"/>
  <c r="M694" i="59"/>
  <c r="M693" i="59" s="1"/>
  <c r="K694" i="59"/>
  <c r="K693" i="59" s="1"/>
  <c r="J694" i="59"/>
  <c r="J693" i="59" s="1"/>
  <c r="B41" i="51"/>
  <c r="B42" i="51"/>
  <c r="D42" i="51" s="1"/>
  <c r="B45" i="51"/>
  <c r="B46" i="51"/>
  <c r="B44" i="51"/>
  <c r="D44" i="51" s="1"/>
  <c r="B43" i="51"/>
  <c r="D43" i="51" s="1"/>
  <c r="O1088" i="59"/>
  <c r="L1088" i="59"/>
  <c r="N1088" i="59"/>
  <c r="I1088" i="59"/>
  <c r="G1088" i="59"/>
  <c r="J1088" i="59"/>
  <c r="M1088" i="59"/>
  <c r="K1088" i="59"/>
  <c r="H1088" i="59"/>
  <c r="N15" i="67"/>
  <c r="L15" i="67"/>
  <c r="M15" i="67"/>
  <c r="N271" i="67"/>
  <c r="M271" i="67"/>
  <c r="L271" i="67"/>
  <c r="N58" i="67"/>
  <c r="L58" i="67"/>
  <c r="M58" i="67"/>
  <c r="J310" i="67"/>
  <c r="I310" i="67"/>
  <c r="H310" i="67"/>
  <c r="N19" i="67"/>
  <c r="L19" i="67"/>
  <c r="M19" i="67"/>
  <c r="J226" i="67"/>
  <c r="H226" i="67"/>
  <c r="I226" i="67"/>
  <c r="O218" i="59"/>
  <c r="O217" i="59" s="1"/>
  <c r="J218" i="59"/>
  <c r="J217" i="59" s="1"/>
  <c r="I218" i="59"/>
  <c r="I217" i="59" s="1"/>
  <c r="L218" i="59"/>
  <c r="L217" i="59" s="1"/>
  <c r="N218" i="59"/>
  <c r="N217" i="59" s="1"/>
  <c r="M218" i="59"/>
  <c r="M217" i="59" s="1"/>
  <c r="K218" i="59"/>
  <c r="K217" i="59" s="1"/>
  <c r="H218" i="59"/>
  <c r="H217" i="59" s="1"/>
  <c r="G218" i="59"/>
  <c r="G217" i="59" s="1"/>
  <c r="O850" i="59"/>
  <c r="L850" i="59"/>
  <c r="N850" i="59"/>
  <c r="J850" i="59"/>
  <c r="I850" i="59"/>
  <c r="G850" i="59"/>
  <c r="H850" i="59"/>
  <c r="M850" i="59"/>
  <c r="K850" i="59"/>
  <c r="H15" i="67"/>
  <c r="I15" i="67"/>
  <c r="J15" i="67"/>
  <c r="J58" i="67"/>
  <c r="H58" i="67"/>
  <c r="I58" i="67"/>
  <c r="N142" i="67"/>
  <c r="M142" i="67"/>
  <c r="L142" i="67"/>
  <c r="N103" i="67"/>
  <c r="M103" i="67"/>
  <c r="L103" i="67"/>
  <c r="N99" i="67"/>
  <c r="M99" i="67"/>
  <c r="L99" i="67"/>
  <c r="J99" i="67"/>
  <c r="H99" i="67"/>
  <c r="I99" i="67"/>
  <c r="N267" i="67"/>
  <c r="M267" i="67"/>
  <c r="L267" i="67"/>
  <c r="D439" i="65"/>
  <c r="G439" i="65"/>
  <c r="J439" i="65"/>
  <c r="L439" i="65"/>
  <c r="K439" i="65"/>
  <c r="I439" i="65"/>
  <c r="E439" i="65"/>
  <c r="F439" i="65"/>
  <c r="Q123" i="53"/>
  <c r="O123" i="53"/>
  <c r="S123" i="53"/>
  <c r="R123" i="53"/>
  <c r="T123" i="53"/>
  <c r="D295" i="65"/>
  <c r="F295" i="65"/>
  <c r="E295" i="65"/>
  <c r="G30" i="59"/>
  <c r="G28" i="59" s="1"/>
  <c r="J30" i="59"/>
  <c r="J28" i="59" s="1"/>
  <c r="K30" i="59"/>
  <c r="K28" i="59" s="1"/>
  <c r="M30" i="59"/>
  <c r="M28" i="59" s="1"/>
  <c r="L30" i="59"/>
  <c r="L28" i="59" s="1"/>
  <c r="I30" i="59"/>
  <c r="I28" i="59" s="1"/>
  <c r="H30" i="59"/>
  <c r="H28" i="59" s="1"/>
  <c r="N30" i="59"/>
  <c r="N28" i="59" s="1"/>
  <c r="O30" i="59"/>
  <c r="O28" i="59" s="1"/>
  <c r="L357" i="53"/>
  <c r="K357" i="53"/>
  <c r="J357" i="53"/>
  <c r="H357" i="53"/>
  <c r="I357" i="53"/>
  <c r="G357" i="53"/>
  <c r="E114" i="68" l="1"/>
  <c r="Y114" i="68"/>
  <c r="O114" i="68"/>
  <c r="D33" i="68"/>
  <c r="D6" i="49" s="1"/>
  <c r="D87" i="68"/>
  <c r="D8" i="49" s="1"/>
  <c r="G1049" i="59" a="1"/>
  <c r="G811" i="59" a="1"/>
  <c r="G655" i="59" a="1"/>
  <c r="G893" i="59" a="1"/>
  <c r="G573" i="59" a="1"/>
  <c r="G417" i="59" a="1"/>
  <c r="G335" i="59" a="1"/>
  <c r="G25" i="59" a="1"/>
  <c r="G179" i="59" a="1"/>
  <c r="D41" i="51"/>
  <c r="F37" i="68" a="1"/>
  <c r="D114" i="68" l="1"/>
  <c r="F37" i="68"/>
  <c r="I37" i="68"/>
  <c r="K37" i="68"/>
  <c r="J37" i="68"/>
  <c r="L37" i="68"/>
  <c r="G37" i="68"/>
  <c r="H37" i="68"/>
  <c r="G335" i="59"/>
  <c r="M335" i="59"/>
  <c r="H335" i="59"/>
  <c r="I335" i="59"/>
  <c r="K335" i="59"/>
  <c r="L335" i="59"/>
  <c r="J335" i="59"/>
  <c r="M655" i="59"/>
  <c r="G655" i="59"/>
  <c r="H655" i="59"/>
  <c r="J655" i="59"/>
  <c r="K655" i="59"/>
  <c r="L655" i="59"/>
  <c r="I655" i="59"/>
  <c r="O893" i="59" a="1"/>
  <c r="O573" i="59" a="1"/>
  <c r="O417" i="59" a="1"/>
  <c r="O655" i="59" a="1"/>
  <c r="O811" i="59" a="1"/>
  <c r="O1049" i="59" a="1"/>
  <c r="O25" i="59" a="1"/>
  <c r="O335" i="59" a="1"/>
  <c r="O179" i="59" a="1"/>
  <c r="F64" i="68" a="1"/>
  <c r="M417" i="59"/>
  <c r="H417" i="59"/>
  <c r="I417" i="59"/>
  <c r="L417" i="59"/>
  <c r="G417" i="59"/>
  <c r="J417" i="59"/>
  <c r="K417" i="59"/>
  <c r="M811" i="59"/>
  <c r="K811" i="59"/>
  <c r="J811" i="59"/>
  <c r="L811" i="59"/>
  <c r="G811" i="59"/>
  <c r="H811" i="59"/>
  <c r="I811" i="59"/>
  <c r="G179" i="59"/>
  <c r="J179" i="59"/>
  <c r="I179" i="59"/>
  <c r="L179" i="59"/>
  <c r="K179" i="59"/>
  <c r="M179" i="59"/>
  <c r="H179" i="59"/>
  <c r="G573" i="59"/>
  <c r="L573" i="59"/>
  <c r="H573" i="59"/>
  <c r="K573" i="59"/>
  <c r="M573" i="59"/>
  <c r="J573" i="59"/>
  <c r="I573" i="59"/>
  <c r="M1049" i="59"/>
  <c r="K1049" i="59"/>
  <c r="L1049" i="59"/>
  <c r="H1049" i="59"/>
  <c r="J1049" i="59"/>
  <c r="G1049" i="59"/>
  <c r="I1049" i="59"/>
  <c r="G25" i="59"/>
  <c r="J25" i="59"/>
  <c r="H25" i="59"/>
  <c r="L25" i="59"/>
  <c r="M25" i="59"/>
  <c r="K25" i="59"/>
  <c r="I25" i="59"/>
  <c r="M893" i="59"/>
  <c r="K893" i="59"/>
  <c r="L893" i="59"/>
  <c r="G893" i="59"/>
  <c r="I893" i="59"/>
  <c r="J893" i="59"/>
  <c r="H893" i="59"/>
  <c r="D9" i="49" l="1"/>
  <c r="O179" i="59"/>
  <c r="R179" i="59"/>
  <c r="P179" i="59"/>
  <c r="U179" i="59"/>
  <c r="S179" i="59"/>
  <c r="Q179" i="59"/>
  <c r="T179" i="59"/>
  <c r="U811" i="59"/>
  <c r="R811" i="59"/>
  <c r="O811" i="59"/>
  <c r="P811" i="59"/>
  <c r="Q811" i="59"/>
  <c r="S811" i="59"/>
  <c r="T811" i="59"/>
  <c r="U655" i="59"/>
  <c r="R655" i="59"/>
  <c r="S655" i="59"/>
  <c r="T655" i="59"/>
  <c r="P655" i="59"/>
  <c r="O655" i="59"/>
  <c r="Q655" i="59"/>
  <c r="O25" i="59"/>
  <c r="R25" i="59"/>
  <c r="Q25" i="59"/>
  <c r="T25" i="59"/>
  <c r="S25" i="59"/>
  <c r="U25" i="59"/>
  <c r="P25" i="59"/>
  <c r="U417" i="59"/>
  <c r="O417" i="59"/>
  <c r="T417" i="59"/>
  <c r="S417" i="59"/>
  <c r="Q417" i="59"/>
  <c r="R417" i="59"/>
  <c r="P417" i="59"/>
  <c r="L64" i="68"/>
  <c r="F64" i="68"/>
  <c r="I64" i="68"/>
  <c r="J64" i="68"/>
  <c r="H64" i="68"/>
  <c r="G64" i="68"/>
  <c r="K64" i="68"/>
  <c r="U1049" i="59"/>
  <c r="Q1049" i="59"/>
  <c r="O1049" i="59"/>
  <c r="P1049" i="59"/>
  <c r="R1049" i="59"/>
  <c r="S1049" i="59"/>
  <c r="T1049" i="59"/>
  <c r="O573" i="59"/>
  <c r="U573" i="59"/>
  <c r="Q573" i="59"/>
  <c r="R573" i="59"/>
  <c r="T573" i="59"/>
  <c r="S573" i="59"/>
  <c r="P573" i="59"/>
  <c r="U893" i="59"/>
  <c r="Q893" i="59"/>
  <c r="O893" i="59"/>
  <c r="P893" i="59"/>
  <c r="R893" i="59"/>
  <c r="S893" i="59"/>
  <c r="T893" i="59"/>
  <c r="U335" i="59"/>
  <c r="S335" i="59"/>
  <c r="O335" i="59"/>
  <c r="P335" i="59"/>
  <c r="R335" i="59"/>
  <c r="T335" i="59"/>
  <c r="Q335" i="59"/>
  <c r="F21" i="67" l="1"/>
  <c r="F44" i="67" l="1"/>
  <c r="F40" i="67"/>
  <c r="F36" i="67"/>
  <c r="F24" i="67"/>
  <c r="F55" i="67"/>
  <c r="F51" i="67"/>
  <c r="F47" i="67"/>
  <c r="F43" i="67"/>
  <c r="F39" i="67"/>
  <c r="F35" i="67"/>
  <c r="F31" i="67"/>
  <c r="F27" i="67"/>
  <c r="F23" i="67"/>
  <c r="F52" i="67"/>
  <c r="F32" i="67"/>
  <c r="F54" i="67"/>
  <c r="F50" i="67"/>
  <c r="F46" i="67"/>
  <c r="F42" i="67"/>
  <c r="F38" i="67"/>
  <c r="F34" i="67"/>
  <c r="F30" i="67"/>
  <c r="F26" i="67"/>
  <c r="F22" i="67"/>
  <c r="F48" i="67"/>
  <c r="F28" i="67"/>
  <c r="F53" i="67"/>
  <c r="F49" i="67"/>
  <c r="F45" i="67"/>
  <c r="F41" i="67"/>
  <c r="F37" i="67"/>
  <c r="F33" i="67"/>
  <c r="F29" i="67"/>
  <c r="F25" i="67"/>
  <c r="D19" i="49"/>
  <c r="B53" i="51"/>
  <c r="F358" i="67" l="1" a="1"/>
  <c r="F376" i="67" s="1"/>
  <c r="G298" i="59" a="1"/>
  <c r="G298" i="59" s="1"/>
  <c r="H736" i="67" a="1"/>
  <c r="H770" i="67" s="1"/>
  <c r="G536" i="59" a="1"/>
  <c r="H690" i="67" a="1"/>
  <c r="F440" i="67" a="1"/>
  <c r="F105" i="67" a="1"/>
  <c r="H782" i="67" a="1"/>
  <c r="F189" i="67" a="1"/>
  <c r="F522" i="67" a="1"/>
  <c r="G774" i="59" a="1"/>
  <c r="H828" i="67" a="1"/>
  <c r="F604" i="67" a="1"/>
  <c r="F273" i="67" a="1"/>
  <c r="G1012" i="59" a="1"/>
  <c r="F389" i="67" l="1"/>
  <c r="F365" i="67"/>
  <c r="F374" i="67"/>
  <c r="F377" i="67"/>
  <c r="G302" i="59"/>
  <c r="G330" i="59"/>
  <c r="G319" i="59"/>
  <c r="F370" i="67"/>
  <c r="F372" i="67"/>
  <c r="G326" i="59"/>
  <c r="G320" i="59"/>
  <c r="F359" i="67"/>
  <c r="F358" i="67"/>
  <c r="G309" i="59"/>
  <c r="G332" i="59"/>
  <c r="F364" i="67"/>
  <c r="F378" i="67"/>
  <c r="F371" i="67"/>
  <c r="F390" i="67"/>
  <c r="F369" i="67"/>
  <c r="F387" i="67"/>
  <c r="F386" i="67"/>
  <c r="F379" i="67"/>
  <c r="F391" i="67"/>
  <c r="F383" i="67"/>
  <c r="F366" i="67"/>
  <c r="F360" i="67"/>
  <c r="F363" i="67"/>
  <c r="F375" i="67"/>
  <c r="F368" i="67"/>
  <c r="F362" i="67"/>
  <c r="F385" i="67"/>
  <c r="F382" i="67"/>
  <c r="F392" i="67"/>
  <c r="G331" i="59"/>
  <c r="G303" i="59"/>
  <c r="G308" i="59"/>
  <c r="H757" i="67"/>
  <c r="G314" i="59"/>
  <c r="G312" i="59"/>
  <c r="G306" i="59"/>
  <c r="G329" i="59"/>
  <c r="G299" i="59"/>
  <c r="G310" i="59"/>
  <c r="G318" i="59"/>
  <c r="G324" i="59"/>
  <c r="G321" i="59"/>
  <c r="G325" i="59"/>
  <c r="G301" i="59"/>
  <c r="G315" i="59"/>
  <c r="G328" i="59"/>
  <c r="G313" i="59"/>
  <c r="G317" i="59"/>
  <c r="G307" i="59"/>
  <c r="H744" i="67"/>
  <c r="F384" i="67"/>
  <c r="F361" i="67"/>
  <c r="F373" i="67"/>
  <c r="F380" i="67"/>
  <c r="F367" i="67"/>
  <c r="F388" i="67"/>
  <c r="F381" i="67"/>
  <c r="H736" i="67"/>
  <c r="H768" i="67"/>
  <c r="G327" i="59"/>
  <c r="G305" i="59"/>
  <c r="G316" i="59"/>
  <c r="G311" i="59"/>
  <c r="G304" i="59"/>
  <c r="G300" i="59"/>
  <c r="G322" i="59"/>
  <c r="G323" i="59"/>
  <c r="H745" i="67"/>
  <c r="H769" i="67"/>
  <c r="H759" i="67"/>
  <c r="H756" i="67"/>
  <c r="H765" i="67"/>
  <c r="H758" i="67"/>
  <c r="H754" i="67"/>
  <c r="H755" i="67"/>
  <c r="H766" i="67"/>
  <c r="H741" i="67"/>
  <c r="H751" i="67"/>
  <c r="H753" i="67"/>
  <c r="H740" i="67"/>
  <c r="H752" i="67"/>
  <c r="H767" i="67"/>
  <c r="H738" i="67"/>
  <c r="H764" i="67"/>
  <c r="H750" i="67"/>
  <c r="H747" i="67"/>
  <c r="H762" i="67"/>
  <c r="H737" i="67"/>
  <c r="H743" i="67"/>
  <c r="H749" i="67"/>
  <c r="H742" i="67"/>
  <c r="H761" i="67"/>
  <c r="H748" i="67"/>
  <c r="H763" i="67"/>
  <c r="H760" i="67"/>
  <c r="H746" i="67"/>
  <c r="H739" i="67"/>
  <c r="G1012" i="59"/>
  <c r="G1023" i="59"/>
  <c r="G1030" i="59"/>
  <c r="G1041" i="59"/>
  <c r="G1025" i="59"/>
  <c r="G1043" i="59"/>
  <c r="G1042" i="59"/>
  <c r="G1044" i="59"/>
  <c r="G1028" i="59"/>
  <c r="G1019" i="59"/>
  <c r="G1022" i="59"/>
  <c r="G1037" i="59"/>
  <c r="G1021" i="59"/>
  <c r="G1035" i="59"/>
  <c r="G1034" i="59"/>
  <c r="G1040" i="59"/>
  <c r="G1024" i="59"/>
  <c r="G1039" i="59"/>
  <c r="G1046" i="59"/>
  <c r="G1018" i="59"/>
  <c r="G1033" i="59"/>
  <c r="G1017" i="59"/>
  <c r="G1027" i="59"/>
  <c r="G1026" i="59"/>
  <c r="G1036" i="59"/>
  <c r="G1020" i="59"/>
  <c r="G1031" i="59"/>
  <c r="G1013" i="59"/>
  <c r="G1016" i="59"/>
  <c r="G1038" i="59"/>
  <c r="G1015" i="59"/>
  <c r="G1032" i="59"/>
  <c r="G1045" i="59"/>
  <c r="G1014" i="59"/>
  <c r="G1029" i="59"/>
  <c r="F218" i="67"/>
  <c r="F210" i="67"/>
  <c r="F211" i="67"/>
  <c r="F195" i="67"/>
  <c r="F213" i="67"/>
  <c r="F197" i="67"/>
  <c r="F204" i="67"/>
  <c r="F200" i="67"/>
  <c r="F198" i="67"/>
  <c r="F223" i="67"/>
  <c r="F207" i="67"/>
  <c r="F191" i="67"/>
  <c r="F209" i="67"/>
  <c r="F193" i="67"/>
  <c r="F212" i="67"/>
  <c r="F208" i="67"/>
  <c r="F206" i="67"/>
  <c r="F194" i="67"/>
  <c r="F219" i="67"/>
  <c r="F203" i="67"/>
  <c r="F221" i="67"/>
  <c r="F205" i="67"/>
  <c r="F189" i="67"/>
  <c r="F220" i="67"/>
  <c r="F216" i="67"/>
  <c r="F214" i="67"/>
  <c r="F199" i="67"/>
  <c r="F192" i="67"/>
  <c r="F217" i="67"/>
  <c r="F190" i="67"/>
  <c r="F215" i="67"/>
  <c r="F202" i="67"/>
  <c r="F201" i="67"/>
  <c r="F222" i="67"/>
  <c r="F196" i="67"/>
  <c r="F273" i="67"/>
  <c r="F304" i="67"/>
  <c r="F276" i="67"/>
  <c r="F291" i="67"/>
  <c r="F306" i="67"/>
  <c r="F296" i="67"/>
  <c r="F303" i="67"/>
  <c r="F287" i="67"/>
  <c r="F284" i="67"/>
  <c r="F275" i="67"/>
  <c r="F290" i="67"/>
  <c r="F274" i="67"/>
  <c r="F307" i="67"/>
  <c r="F297" i="67"/>
  <c r="F281" i="67"/>
  <c r="F299" i="67"/>
  <c r="F302" i="67"/>
  <c r="F286" i="67"/>
  <c r="F300" i="67"/>
  <c r="F279" i="67"/>
  <c r="F293" i="67"/>
  <c r="F277" i="67"/>
  <c r="F295" i="67"/>
  <c r="F298" i="67"/>
  <c r="F282" i="67"/>
  <c r="F292" i="67"/>
  <c r="F305" i="67"/>
  <c r="F289" i="67"/>
  <c r="F294" i="67"/>
  <c r="F285" i="67"/>
  <c r="F278" i="67"/>
  <c r="F283" i="67"/>
  <c r="F288" i="67"/>
  <c r="F280" i="67"/>
  <c r="F301" i="67"/>
  <c r="H782" i="67"/>
  <c r="H813" i="67"/>
  <c r="H793" i="67"/>
  <c r="H816" i="67"/>
  <c r="H800" i="67"/>
  <c r="H815" i="67"/>
  <c r="H799" i="67"/>
  <c r="H783" i="67"/>
  <c r="H806" i="67"/>
  <c r="H790" i="67"/>
  <c r="H785" i="67"/>
  <c r="H812" i="67"/>
  <c r="H796" i="67"/>
  <c r="H811" i="67"/>
  <c r="H795" i="67"/>
  <c r="H788" i="67"/>
  <c r="H802" i="67"/>
  <c r="H786" i="67"/>
  <c r="H801" i="67"/>
  <c r="H805" i="67"/>
  <c r="H808" i="67"/>
  <c r="H792" i="67"/>
  <c r="H807" i="67"/>
  <c r="H791" i="67"/>
  <c r="H814" i="67"/>
  <c r="H798" i="67"/>
  <c r="H804" i="67"/>
  <c r="H810" i="67"/>
  <c r="H809" i="67"/>
  <c r="H784" i="67"/>
  <c r="H794" i="67"/>
  <c r="H803" i="67"/>
  <c r="H789" i="67"/>
  <c r="H787" i="67"/>
  <c r="H797" i="67"/>
  <c r="F132" i="67"/>
  <c r="F108" i="67"/>
  <c r="F135" i="67"/>
  <c r="F119" i="67"/>
  <c r="F137" i="67"/>
  <c r="F121" i="67"/>
  <c r="F105" i="67"/>
  <c r="F118" i="67"/>
  <c r="F128" i="67"/>
  <c r="F130" i="67"/>
  <c r="F116" i="67"/>
  <c r="F131" i="67"/>
  <c r="F115" i="67"/>
  <c r="F133" i="67"/>
  <c r="F117" i="67"/>
  <c r="F120" i="67"/>
  <c r="F126" i="67"/>
  <c r="F106" i="67"/>
  <c r="F138" i="67"/>
  <c r="F124" i="67"/>
  <c r="F127" i="67"/>
  <c r="F111" i="67"/>
  <c r="F129" i="67"/>
  <c r="F113" i="67"/>
  <c r="F136" i="67"/>
  <c r="F134" i="67"/>
  <c r="F114" i="67"/>
  <c r="F125" i="67"/>
  <c r="F122" i="67"/>
  <c r="F107" i="67"/>
  <c r="F139" i="67"/>
  <c r="F109" i="67"/>
  <c r="F123" i="67"/>
  <c r="F110" i="67"/>
  <c r="F112" i="67"/>
  <c r="F440" i="67"/>
  <c r="F459" i="67"/>
  <c r="F454" i="67"/>
  <c r="F465" i="67"/>
  <c r="F449" i="67"/>
  <c r="F463" i="67"/>
  <c r="F470" i="67"/>
  <c r="F446" i="67"/>
  <c r="F460" i="67"/>
  <c r="F444" i="67"/>
  <c r="F447" i="67"/>
  <c r="F442" i="67"/>
  <c r="F461" i="67"/>
  <c r="F445" i="67"/>
  <c r="F455" i="67"/>
  <c r="F462" i="67"/>
  <c r="F472" i="67"/>
  <c r="F456" i="67"/>
  <c r="F474" i="67"/>
  <c r="F473" i="67"/>
  <c r="F457" i="67"/>
  <c r="F441" i="67"/>
  <c r="F451" i="67"/>
  <c r="F458" i="67"/>
  <c r="F468" i="67"/>
  <c r="F452" i="67"/>
  <c r="F453" i="67"/>
  <c r="F464" i="67"/>
  <c r="F467" i="67"/>
  <c r="F471" i="67"/>
  <c r="F448" i="67"/>
  <c r="F450" i="67"/>
  <c r="F466" i="67"/>
  <c r="F443" i="67"/>
  <c r="F469" i="67"/>
  <c r="F604" i="67"/>
  <c r="F607" i="67"/>
  <c r="F614" i="67"/>
  <c r="F629" i="67"/>
  <c r="F613" i="67"/>
  <c r="F623" i="67"/>
  <c r="F626" i="67"/>
  <c r="F632" i="67"/>
  <c r="F616" i="67"/>
  <c r="F635" i="67"/>
  <c r="F638" i="67"/>
  <c r="F606" i="67"/>
  <c r="F625" i="67"/>
  <c r="F609" i="67"/>
  <c r="F615" i="67"/>
  <c r="F618" i="67"/>
  <c r="F628" i="67"/>
  <c r="F612" i="67"/>
  <c r="F627" i="67"/>
  <c r="F630" i="67"/>
  <c r="F637" i="67"/>
  <c r="F621" i="67"/>
  <c r="F605" i="67"/>
  <c r="F611" i="67"/>
  <c r="F610" i="67"/>
  <c r="F624" i="67"/>
  <c r="F608" i="67"/>
  <c r="F617" i="67"/>
  <c r="F620" i="67"/>
  <c r="F619" i="67"/>
  <c r="F631" i="67"/>
  <c r="F622" i="67"/>
  <c r="F634" i="67"/>
  <c r="F633" i="67"/>
  <c r="F636" i="67"/>
  <c r="G774" i="59"/>
  <c r="G801" i="59"/>
  <c r="G808" i="59"/>
  <c r="G788" i="59"/>
  <c r="G803" i="59"/>
  <c r="G787" i="59"/>
  <c r="G805" i="59"/>
  <c r="G804" i="59"/>
  <c r="G798" i="59"/>
  <c r="G782" i="59"/>
  <c r="G793" i="59"/>
  <c r="G800" i="59"/>
  <c r="G784" i="59"/>
  <c r="G799" i="59"/>
  <c r="G783" i="59"/>
  <c r="G797" i="59"/>
  <c r="G780" i="59"/>
  <c r="G794" i="59"/>
  <c r="G778" i="59"/>
  <c r="G785" i="59"/>
  <c r="G796" i="59"/>
  <c r="G776" i="59"/>
  <c r="G795" i="59"/>
  <c r="G779" i="59"/>
  <c r="G789" i="59"/>
  <c r="G806" i="59"/>
  <c r="G790" i="59"/>
  <c r="G781" i="59"/>
  <c r="G775" i="59"/>
  <c r="G792" i="59"/>
  <c r="G777" i="59"/>
  <c r="G786" i="59"/>
  <c r="G807" i="59"/>
  <c r="G802" i="59"/>
  <c r="G791" i="59"/>
  <c r="H828" i="67"/>
  <c r="H854" i="67"/>
  <c r="H838" i="67"/>
  <c r="H855" i="67"/>
  <c r="H839" i="67"/>
  <c r="H857" i="67"/>
  <c r="H841" i="67"/>
  <c r="H860" i="67"/>
  <c r="H844" i="67"/>
  <c r="H850" i="67"/>
  <c r="H834" i="67"/>
  <c r="H851" i="67"/>
  <c r="H835" i="67"/>
  <c r="H853" i="67"/>
  <c r="H837" i="67"/>
  <c r="H856" i="67"/>
  <c r="H840" i="67"/>
  <c r="H862" i="67"/>
  <c r="H846" i="67"/>
  <c r="H830" i="67"/>
  <c r="H847" i="67"/>
  <c r="H831" i="67"/>
  <c r="H849" i="67"/>
  <c r="H833" i="67"/>
  <c r="H852" i="67"/>
  <c r="H836" i="67"/>
  <c r="H859" i="67"/>
  <c r="H829" i="67"/>
  <c r="H843" i="67"/>
  <c r="H848" i="67"/>
  <c r="H858" i="67"/>
  <c r="H861" i="67"/>
  <c r="H832" i="67"/>
  <c r="H845" i="67"/>
  <c r="H842" i="67"/>
  <c r="F525" i="67"/>
  <c r="F544" i="67"/>
  <c r="F528" i="67"/>
  <c r="F547" i="67"/>
  <c r="F531" i="67"/>
  <c r="F550" i="67"/>
  <c r="F534" i="67"/>
  <c r="F553" i="67"/>
  <c r="F537" i="67"/>
  <c r="F556" i="67"/>
  <c r="F540" i="67"/>
  <c r="F524" i="67"/>
  <c r="F543" i="67"/>
  <c r="F527" i="67"/>
  <c r="F546" i="67"/>
  <c r="F530" i="67"/>
  <c r="F549" i="67"/>
  <c r="F533" i="67"/>
  <c r="F552" i="67"/>
  <c r="F536" i="67"/>
  <c r="F555" i="67"/>
  <c r="F539" i="67"/>
  <c r="F523" i="67"/>
  <c r="F542" i="67"/>
  <c r="F526" i="67"/>
  <c r="F545" i="67"/>
  <c r="F529" i="67"/>
  <c r="F535" i="67"/>
  <c r="F541" i="67"/>
  <c r="F548" i="67"/>
  <c r="F554" i="67"/>
  <c r="F532" i="67"/>
  <c r="F538" i="67"/>
  <c r="F522" i="67"/>
  <c r="F551" i="67"/>
  <c r="H690" i="67"/>
  <c r="H709" i="67"/>
  <c r="H716" i="67"/>
  <c r="H723" i="67"/>
  <c r="H707" i="67"/>
  <c r="H691" i="67"/>
  <c r="H720" i="67"/>
  <c r="H722" i="67"/>
  <c r="H706" i="67"/>
  <c r="H701" i="67"/>
  <c r="H708" i="67"/>
  <c r="H719" i="67"/>
  <c r="H703" i="67"/>
  <c r="H713" i="67"/>
  <c r="H712" i="67"/>
  <c r="H718" i="67"/>
  <c r="H702" i="67"/>
  <c r="H721" i="67"/>
  <c r="H693" i="67"/>
  <c r="H700" i="67"/>
  <c r="H715" i="67"/>
  <c r="H699" i="67"/>
  <c r="H705" i="67"/>
  <c r="H704" i="67"/>
  <c r="H714" i="67"/>
  <c r="H698" i="67"/>
  <c r="H696" i="67"/>
  <c r="H692" i="67"/>
  <c r="H711" i="67"/>
  <c r="H710" i="67"/>
  <c r="H717" i="67"/>
  <c r="H695" i="67"/>
  <c r="H694" i="67"/>
  <c r="H697" i="67"/>
  <c r="H724" i="67"/>
  <c r="G536" i="59"/>
  <c r="G547" i="59"/>
  <c r="G554" i="59"/>
  <c r="G569" i="59"/>
  <c r="G553" i="59"/>
  <c r="G537" i="59"/>
  <c r="G543" i="59"/>
  <c r="G568" i="59"/>
  <c r="G552" i="59"/>
  <c r="G570" i="59"/>
  <c r="G550" i="59"/>
  <c r="G565" i="59"/>
  <c r="G549" i="59"/>
  <c r="G563" i="59"/>
  <c r="G539" i="59"/>
  <c r="G564" i="59"/>
  <c r="G548" i="59"/>
  <c r="G567" i="59"/>
  <c r="G566" i="59"/>
  <c r="G542" i="59"/>
  <c r="G561" i="59"/>
  <c r="G545" i="59"/>
  <c r="G555" i="59"/>
  <c r="G562" i="59"/>
  <c r="G560" i="59"/>
  <c r="G544" i="59"/>
  <c r="G558" i="59"/>
  <c r="G551" i="59"/>
  <c r="G538" i="59"/>
  <c r="G546" i="59"/>
  <c r="G540" i="59"/>
  <c r="G557" i="59"/>
  <c r="G556" i="59"/>
  <c r="G559" i="59"/>
  <c r="G541" i="59"/>
  <c r="O357" i="53" l="1" a="1"/>
  <c r="S357" i="53" s="1"/>
  <c r="O240" i="53" a="1"/>
  <c r="R240" i="53" s="1"/>
  <c r="G240" i="53" a="1"/>
  <c r="I240" i="53" s="1"/>
  <c r="G123" i="53" a="1"/>
  <c r="J123" i="53" s="1"/>
  <c r="L123" i="53" l="1"/>
  <c r="G123" i="53"/>
  <c r="I123" i="53"/>
  <c r="H123" i="53"/>
  <c r="O240" i="53"/>
  <c r="T240" i="53"/>
  <c r="P357" i="53"/>
  <c r="P240" i="53"/>
  <c r="Q357" i="53"/>
  <c r="S240" i="53"/>
  <c r="K123" i="53"/>
  <c r="Q240" i="53"/>
  <c r="T357" i="53"/>
  <c r="R357" i="53"/>
  <c r="O357" i="53"/>
  <c r="J240" i="53"/>
  <c r="G240" i="53"/>
  <c r="K240" i="53"/>
  <c r="H240" i="53"/>
  <c r="L240" i="53"/>
  <c r="O6" i="53" l="1" a="1"/>
  <c r="S6" i="53" s="1"/>
  <c r="G6" i="53" a="1"/>
  <c r="J6" i="53" s="1"/>
  <c r="D2" i="68"/>
  <c r="E2" i="68" s="1"/>
  <c r="N166" i="68" s="1"/>
  <c r="J38" i="68" l="1"/>
  <c r="U92" i="68"/>
  <c r="H92" i="68"/>
  <c r="G92" i="68"/>
  <c r="AF92" i="68"/>
  <c r="P92" i="68"/>
  <c r="AE92" i="68"/>
  <c r="M92" i="68"/>
  <c r="T92" i="68"/>
  <c r="S92" i="68"/>
  <c r="F92" i="68"/>
  <c r="R92" i="68"/>
  <c r="AG92" i="68"/>
  <c r="Q92" i="68"/>
  <c r="L92" i="68"/>
  <c r="AB92" i="68"/>
  <c r="K92" i="68"/>
  <c r="W92" i="68"/>
  <c r="Z92" i="68"/>
  <c r="N92" i="68"/>
  <c r="AD92" i="68"/>
  <c r="AC92" i="68"/>
  <c r="X92" i="68"/>
  <c r="J92" i="68"/>
  <c r="V92" i="68"/>
  <c r="I92" i="68"/>
  <c r="AA92" i="68"/>
  <c r="AH92" i="68"/>
  <c r="P166" i="68"/>
  <c r="N195" i="68"/>
  <c r="J166" i="68"/>
  <c r="H156" i="68"/>
  <c r="G155" i="68"/>
  <c r="I156" i="68" s="1"/>
  <c r="F154" i="68"/>
  <c r="H152" i="68"/>
  <c r="G151" i="68"/>
  <c r="I152" i="68" s="1"/>
  <c r="F150" i="68"/>
  <c r="H148" i="68"/>
  <c r="G147" i="68"/>
  <c r="I148" i="68" s="1"/>
  <c r="F146" i="68"/>
  <c r="H144" i="68"/>
  <c r="G143" i="68"/>
  <c r="I144" i="68" s="1"/>
  <c r="F142" i="68"/>
  <c r="H140" i="68"/>
  <c r="G139" i="68"/>
  <c r="I140" i="68" s="1"/>
  <c r="F138" i="68"/>
  <c r="H136" i="68"/>
  <c r="G135" i="68"/>
  <c r="I136" i="68" s="1"/>
  <c r="F134" i="68"/>
  <c r="H132" i="68"/>
  <c r="G131" i="68"/>
  <c r="I132" i="68" s="1"/>
  <c r="F130" i="68"/>
  <c r="H128" i="68"/>
  <c r="G127" i="68"/>
  <c r="I128" i="68" s="1"/>
  <c r="F126" i="68"/>
  <c r="H124" i="68"/>
  <c r="G123" i="68"/>
  <c r="I124" i="68" s="1"/>
  <c r="F122" i="68"/>
  <c r="H120" i="68"/>
  <c r="H157" i="68"/>
  <c r="H158" i="68" s="1"/>
  <c r="G156" i="68"/>
  <c r="I157" i="68" s="1"/>
  <c r="F155" i="68"/>
  <c r="H153" i="68"/>
  <c r="G152" i="68"/>
  <c r="I153" i="68" s="1"/>
  <c r="F151" i="68"/>
  <c r="H149" i="68"/>
  <c r="G148" i="68"/>
  <c r="I149" i="68" s="1"/>
  <c r="F147" i="68"/>
  <c r="H145" i="68"/>
  <c r="G144" i="68"/>
  <c r="I145" i="68" s="1"/>
  <c r="F143" i="68"/>
  <c r="H141" i="68"/>
  <c r="G140" i="68"/>
  <c r="I141" i="68" s="1"/>
  <c r="F139" i="68"/>
  <c r="H137" i="68"/>
  <c r="G136" i="68"/>
  <c r="I137" i="68" s="1"/>
  <c r="F135" i="68"/>
  <c r="H133" i="68"/>
  <c r="G132" i="68"/>
  <c r="I133" i="68" s="1"/>
  <c r="F131" i="68"/>
  <c r="H129" i="68"/>
  <c r="G128" i="68"/>
  <c r="I129" i="68" s="1"/>
  <c r="F127" i="68"/>
  <c r="H125" i="68"/>
  <c r="G124" i="68"/>
  <c r="I125" i="68" s="1"/>
  <c r="F123" i="68"/>
  <c r="H121" i="68"/>
  <c r="G120" i="68"/>
  <c r="G157" i="68"/>
  <c r="I158" i="68" s="1"/>
  <c r="F156" i="68"/>
  <c r="H154" i="68"/>
  <c r="G153" i="68"/>
  <c r="I154" i="68" s="1"/>
  <c r="F152" i="68"/>
  <c r="H150" i="68"/>
  <c r="G149" i="68"/>
  <c r="I150" i="68" s="1"/>
  <c r="F148" i="68"/>
  <c r="H146" i="68"/>
  <c r="G145" i="68"/>
  <c r="I146" i="68" s="1"/>
  <c r="F144" i="68"/>
  <c r="H142" i="68"/>
  <c r="G141" i="68"/>
  <c r="I142" i="68" s="1"/>
  <c r="F140" i="68"/>
  <c r="H138" i="68"/>
  <c r="G137" i="68"/>
  <c r="I138" i="68" s="1"/>
  <c r="F136" i="68"/>
  <c r="H134" i="68"/>
  <c r="G133" i="68"/>
  <c r="I134" i="68" s="1"/>
  <c r="F132" i="68"/>
  <c r="H130" i="68"/>
  <c r="G129" i="68"/>
  <c r="I130" i="68" s="1"/>
  <c r="F128" i="68"/>
  <c r="H126" i="68"/>
  <c r="G125" i="68"/>
  <c r="I126" i="68" s="1"/>
  <c r="F124" i="68"/>
  <c r="H122" i="68"/>
  <c r="G121" i="68"/>
  <c r="I122" i="68" s="1"/>
  <c r="F157" i="68"/>
  <c r="H155" i="68"/>
  <c r="G154" i="68"/>
  <c r="F153" i="68"/>
  <c r="H151" i="68"/>
  <c r="G150" i="68"/>
  <c r="F149" i="68"/>
  <c r="H147" i="68"/>
  <c r="G146" i="68"/>
  <c r="F145" i="68"/>
  <c r="H143" i="68"/>
  <c r="G142" i="68"/>
  <c r="F141" i="68"/>
  <c r="H139" i="68"/>
  <c r="G138" i="68"/>
  <c r="F137" i="68"/>
  <c r="H135" i="68"/>
  <c r="G134" i="68"/>
  <c r="F133" i="68"/>
  <c r="H131" i="68"/>
  <c r="G130" i="68"/>
  <c r="F129" i="68"/>
  <c r="H127" i="68"/>
  <c r="G126" i="68"/>
  <c r="F125" i="68"/>
  <c r="H123" i="68"/>
  <c r="G122" i="68"/>
  <c r="F121" i="68"/>
  <c r="F120" i="68"/>
  <c r="L65" i="68"/>
  <c r="H65" i="68"/>
  <c r="K38" i="68"/>
  <c r="G38" i="68"/>
  <c r="K11" i="68"/>
  <c r="F11" i="68"/>
  <c r="J65" i="68"/>
  <c r="F65" i="68"/>
  <c r="M11" i="68"/>
  <c r="I11" i="68"/>
  <c r="I65" i="68"/>
  <c r="L38" i="68"/>
  <c r="L11" i="68"/>
  <c r="H11" i="68"/>
  <c r="K65" i="68"/>
  <c r="G65" i="68"/>
  <c r="F38" i="68"/>
  <c r="J11" i="68"/>
  <c r="H38" i="68"/>
  <c r="H6" i="53"/>
  <c r="L6" i="53"/>
  <c r="G6" i="53"/>
  <c r="T6" i="53"/>
  <c r="K6" i="53"/>
  <c r="Q6" i="53"/>
  <c r="I6" i="53"/>
  <c r="P6" i="53"/>
  <c r="R6" i="53"/>
  <c r="O6" i="53"/>
  <c r="J148" i="68" l="1"/>
  <c r="J133" i="68"/>
  <c r="J149" i="68"/>
  <c r="J128" i="68"/>
  <c r="J153" i="68"/>
  <c r="J140" i="68"/>
  <c r="J136" i="68"/>
  <c r="J152" i="68"/>
  <c r="J157" i="68"/>
  <c r="J132" i="68"/>
  <c r="I139" i="68"/>
  <c r="J139" i="68" s="1"/>
  <c r="J138" i="68"/>
  <c r="I131" i="68"/>
  <c r="J131" i="68" s="1"/>
  <c r="J130" i="68"/>
  <c r="J124" i="68"/>
  <c r="J137" i="68"/>
  <c r="J144" i="68"/>
  <c r="I123" i="68"/>
  <c r="J123" i="68" s="1"/>
  <c r="J122" i="68"/>
  <c r="J129" i="68"/>
  <c r="I135" i="68"/>
  <c r="J135" i="68" s="1"/>
  <c r="J134" i="68"/>
  <c r="I151" i="68"/>
  <c r="J151" i="68" s="1"/>
  <c r="J150" i="68"/>
  <c r="I147" i="68"/>
  <c r="J147" i="68" s="1"/>
  <c r="J146" i="68"/>
  <c r="I155" i="68"/>
  <c r="J155" i="68" s="1"/>
  <c r="J154" i="68"/>
  <c r="J141" i="68"/>
  <c r="I127" i="68"/>
  <c r="J127" i="68" s="1"/>
  <c r="J126" i="68"/>
  <c r="J156" i="68"/>
  <c r="J125" i="68"/>
  <c r="J145" i="68"/>
  <c r="J120" i="68"/>
  <c r="I121" i="68"/>
  <c r="J121" i="68" s="1"/>
  <c r="I143" i="68"/>
  <c r="J143" i="68" s="1"/>
  <c r="J142" i="68"/>
  <c r="H243" i="73" a="1"/>
  <c r="H253" i="73" s="1"/>
  <c r="H292" i="73" a="1"/>
  <c r="H90" i="73" a="1"/>
  <c r="H226" i="73" a="1"/>
  <c r="H22" i="73" a="1"/>
  <c r="M22" i="73" s="1"/>
  <c r="H158" i="73" a="1"/>
  <c r="H246" i="73" l="1"/>
  <c r="H275" i="73"/>
  <c r="H261" i="73"/>
  <c r="H256" i="73"/>
  <c r="H243" i="73"/>
  <c r="H277" i="73"/>
  <c r="H175" i="73" a="1"/>
  <c r="H187" i="73" s="1"/>
  <c r="H267" i="73"/>
  <c r="H273" i="73"/>
  <c r="H279" i="73"/>
  <c r="H254" i="73"/>
  <c r="H280" i="73"/>
  <c r="H251" i="73"/>
  <c r="H245" i="73"/>
  <c r="H268" i="73"/>
  <c r="H274" i="73"/>
  <c r="H272" i="73"/>
  <c r="H271" i="73"/>
  <c r="H258" i="73"/>
  <c r="H248" i="73"/>
  <c r="H263" i="73"/>
  <c r="H270" i="73"/>
  <c r="H244" i="73"/>
  <c r="H249" i="73"/>
  <c r="H269" i="73"/>
  <c r="H250" i="73"/>
  <c r="H259" i="73"/>
  <c r="H265" i="73"/>
  <c r="H278" i="73"/>
  <c r="H262" i="73"/>
  <c r="H247" i="73"/>
  <c r="H257" i="73"/>
  <c r="H264" i="73"/>
  <c r="H260" i="73"/>
  <c r="H276" i="73"/>
  <c r="H252" i="73"/>
  <c r="H266" i="73"/>
  <c r="H255" i="73"/>
  <c r="H107" i="73" a="1"/>
  <c r="H145" i="73" s="1"/>
  <c r="H39" i="73" a="1"/>
  <c r="H53" i="73" s="1"/>
  <c r="H309" i="73" a="1"/>
  <c r="H347" i="73" s="1"/>
  <c r="H281" i="73"/>
  <c r="L22" i="73"/>
  <c r="L226" i="73"/>
  <c r="J226" i="73"/>
  <c r="K226" i="73"/>
  <c r="H226" i="73"/>
  <c r="I226" i="73"/>
  <c r="M226" i="73"/>
  <c r="J22" i="73"/>
  <c r="K22" i="73"/>
  <c r="H22" i="73"/>
  <c r="I22" i="73"/>
  <c r="J90" i="73"/>
  <c r="L90" i="73"/>
  <c r="K90" i="73"/>
  <c r="I90" i="73"/>
  <c r="H90" i="73"/>
  <c r="M90" i="73"/>
  <c r="J158" i="73"/>
  <c r="K158" i="73"/>
  <c r="M158" i="73"/>
  <c r="H158" i="73"/>
  <c r="L158" i="73"/>
  <c r="I158" i="73"/>
  <c r="L292" i="73"/>
  <c r="M292" i="73"/>
  <c r="H292" i="73"/>
  <c r="J292" i="73"/>
  <c r="K292" i="73"/>
  <c r="I292" i="73"/>
  <c r="H175" i="73" l="1"/>
  <c r="H179" i="73"/>
  <c r="H176" i="73"/>
  <c r="H213" i="73"/>
  <c r="H191" i="73"/>
  <c r="H203" i="73"/>
  <c r="H182" i="73"/>
  <c r="H202" i="73"/>
  <c r="H48" i="73"/>
  <c r="H193" i="73"/>
  <c r="H178" i="73"/>
  <c r="H183" i="73"/>
  <c r="H71" i="73"/>
  <c r="H46" i="73"/>
  <c r="H188" i="73"/>
  <c r="H180" i="73"/>
  <c r="H197" i="73"/>
  <c r="H186" i="73"/>
  <c r="H210" i="73"/>
  <c r="H75" i="73"/>
  <c r="H209" i="73"/>
  <c r="H196" i="73"/>
  <c r="H74" i="73"/>
  <c r="H195" i="73"/>
  <c r="H208" i="73"/>
  <c r="H198" i="73"/>
  <c r="H181" i="73"/>
  <c r="H189" i="73"/>
  <c r="H77" i="73"/>
  <c r="H190" i="73"/>
  <c r="H200" i="73"/>
  <c r="H206" i="73"/>
  <c r="H199" i="73"/>
  <c r="H211" i="73"/>
  <c r="H204" i="73"/>
  <c r="H177" i="73"/>
  <c r="H49" i="73"/>
  <c r="H72" i="73"/>
  <c r="H64" i="73"/>
  <c r="H184" i="73"/>
  <c r="H185" i="73"/>
  <c r="H192" i="73"/>
  <c r="H207" i="73"/>
  <c r="H201" i="73"/>
  <c r="H194" i="73"/>
  <c r="H205" i="73"/>
  <c r="H212" i="73"/>
  <c r="H62" i="73"/>
  <c r="H66" i="73"/>
  <c r="H43" i="73"/>
  <c r="H45" i="73"/>
  <c r="H55" i="73"/>
  <c r="H63" i="73"/>
  <c r="H41" i="73"/>
  <c r="H59" i="73"/>
  <c r="H57" i="73"/>
  <c r="H40" i="73"/>
  <c r="H76" i="73"/>
  <c r="H39" i="73"/>
  <c r="H58" i="73"/>
  <c r="H50" i="73"/>
  <c r="H68" i="73"/>
  <c r="H60" i="73"/>
  <c r="H69" i="73"/>
  <c r="H56" i="73"/>
  <c r="H73" i="73"/>
  <c r="H324" i="73"/>
  <c r="H336" i="73"/>
  <c r="H318" i="73"/>
  <c r="H316" i="73"/>
  <c r="H337" i="73"/>
  <c r="H334" i="73"/>
  <c r="H340" i="73"/>
  <c r="H328" i="73"/>
  <c r="H323" i="73"/>
  <c r="H346" i="73"/>
  <c r="H320" i="73"/>
  <c r="H326" i="73"/>
  <c r="H330" i="73"/>
  <c r="H329" i="73"/>
  <c r="H342" i="73"/>
  <c r="H339" i="73"/>
  <c r="H309" i="73"/>
  <c r="H312" i="73"/>
  <c r="H332" i="73"/>
  <c r="H311" i="73"/>
  <c r="H345" i="73"/>
  <c r="H315" i="73"/>
  <c r="H325" i="73"/>
  <c r="H331" i="73"/>
  <c r="H317" i="73"/>
  <c r="H333" i="73"/>
  <c r="H310" i="73"/>
  <c r="H313" i="73"/>
  <c r="H335" i="73"/>
  <c r="H322" i="73"/>
  <c r="H344" i="73"/>
  <c r="H314" i="73"/>
  <c r="H341" i="73"/>
  <c r="H343" i="73"/>
  <c r="H321" i="73"/>
  <c r="H338" i="73"/>
  <c r="H319" i="73"/>
  <c r="H327" i="73"/>
  <c r="H44" i="73"/>
  <c r="H61" i="73"/>
  <c r="H70" i="73"/>
  <c r="H67" i="73"/>
  <c r="H54" i="73"/>
  <c r="H51" i="73"/>
  <c r="H42" i="73"/>
  <c r="H65" i="73"/>
  <c r="H52" i="73"/>
  <c r="H47" i="73"/>
  <c r="H112" i="73"/>
  <c r="H109" i="73"/>
  <c r="H139" i="73"/>
  <c r="H138" i="73"/>
  <c r="H119" i="73"/>
  <c r="H133" i="73"/>
  <c r="H136" i="73"/>
  <c r="H142" i="73"/>
  <c r="H107" i="73"/>
  <c r="H128" i="73"/>
  <c r="H122" i="73"/>
  <c r="H127" i="73"/>
  <c r="H137" i="73"/>
  <c r="H118" i="73"/>
  <c r="H116" i="73"/>
  <c r="H123" i="73"/>
  <c r="H117" i="73"/>
  <c r="H111" i="73"/>
  <c r="H110" i="73"/>
  <c r="H125" i="73"/>
  <c r="H132" i="73"/>
  <c r="H131" i="73"/>
  <c r="H143" i="73"/>
  <c r="H141" i="73"/>
  <c r="H120" i="73"/>
  <c r="H140" i="73"/>
  <c r="H124" i="73"/>
  <c r="H130" i="73"/>
  <c r="H134" i="73"/>
  <c r="H129" i="73"/>
  <c r="H126" i="73"/>
  <c r="H114" i="73"/>
  <c r="H115" i="73"/>
  <c r="H113" i="73"/>
  <c r="H135" i="73"/>
  <c r="H144" i="73"/>
  <c r="H108" i="73"/>
  <c r="H121" i="73"/>
  <c r="D27" i="49" l="1"/>
  <c r="D26" i="49"/>
  <c r="F233" i="73" l="1"/>
  <c r="F221" i="73"/>
  <c r="F165" i="73"/>
  <c r="F153" i="73"/>
  <c r="L227" i="73" l="1"/>
  <c r="L228" i="73" s="1"/>
  <c r="F229" i="73"/>
  <c r="I227" i="73"/>
  <c r="I228" i="73" s="1"/>
  <c r="K227" i="73"/>
  <c r="K228" i="73" s="1"/>
  <c r="L159" i="73"/>
  <c r="L160" i="73" s="1"/>
  <c r="I159" i="73"/>
  <c r="I160" i="73" s="1"/>
  <c r="F161" i="73"/>
  <c r="K159" i="73"/>
  <c r="K160" i="73" s="1"/>
  <c r="F228" i="73" l="1"/>
  <c r="F237" i="73" s="1"/>
  <c r="F160" i="73"/>
  <c r="F169" i="73" s="1"/>
  <c r="G433" i="53" l="1" a="1"/>
  <c r="J433" i="53" s="1"/>
  <c r="G316" i="53" a="1"/>
  <c r="J316" i="53" s="1"/>
  <c r="G199" i="53" a="1"/>
  <c r="K199" i="53" s="1"/>
  <c r="K316" i="53" l="1"/>
  <c r="K433" i="53"/>
  <c r="G316" i="53"/>
  <c r="L316" i="53"/>
  <c r="G433" i="53"/>
  <c r="L433" i="53"/>
  <c r="H316" i="53"/>
  <c r="H433" i="53"/>
  <c r="I316" i="53"/>
  <c r="I433" i="53"/>
  <c r="I199" i="53"/>
  <c r="J199" i="53"/>
  <c r="L199" i="53"/>
  <c r="G199" i="53"/>
  <c r="H199" i="53"/>
  <c r="I309" i="73" l="1" a="1"/>
  <c r="I311" i="73" s="1"/>
  <c r="I243" i="73" a="1"/>
  <c r="I245" i="73" s="1"/>
  <c r="I107" i="73" a="1"/>
  <c r="I118" i="73" s="1"/>
  <c r="I175" i="73" a="1"/>
  <c r="I176" i="73" s="1"/>
  <c r="I39" i="73" a="1"/>
  <c r="I117" i="73" l="1"/>
  <c r="I109" i="73"/>
  <c r="I123" i="73"/>
  <c r="I122" i="73"/>
  <c r="I119" i="73"/>
  <c r="I114" i="73"/>
  <c r="I121" i="73"/>
  <c r="I115" i="73"/>
  <c r="I120" i="73"/>
  <c r="I107" i="73"/>
  <c r="I110" i="73"/>
  <c r="I249" i="73"/>
  <c r="I252" i="73"/>
  <c r="I255" i="73"/>
  <c r="I247" i="73"/>
  <c r="I254" i="73"/>
  <c r="I246" i="73"/>
  <c r="I257" i="73"/>
  <c r="I260" i="73"/>
  <c r="I248" i="73"/>
  <c r="I243" i="73"/>
  <c r="I262" i="73"/>
  <c r="I244" i="73"/>
  <c r="I250" i="73"/>
  <c r="I256" i="73"/>
  <c r="I259" i="73"/>
  <c r="I251" i="73"/>
  <c r="I258" i="73"/>
  <c r="I261" i="73"/>
  <c r="I253" i="73"/>
  <c r="I327" i="73"/>
  <c r="I326" i="73"/>
  <c r="I313" i="73"/>
  <c r="I112" i="73"/>
  <c r="I111" i="73"/>
  <c r="I108" i="73"/>
  <c r="I310" i="73"/>
  <c r="I113" i="73"/>
  <c r="I116" i="73"/>
  <c r="I126" i="73"/>
  <c r="I193" i="73"/>
  <c r="I181" i="73"/>
  <c r="I180" i="73"/>
  <c r="I191" i="73"/>
  <c r="I179" i="73"/>
  <c r="I175" i="73"/>
  <c r="I194" i="73"/>
  <c r="I190" i="73"/>
  <c r="I178" i="73"/>
  <c r="I188" i="73"/>
  <c r="I184" i="73"/>
  <c r="I177" i="73"/>
  <c r="I182" i="73"/>
  <c r="I189" i="73"/>
  <c r="I192" i="73"/>
  <c r="I187" i="73"/>
  <c r="I186" i="73"/>
  <c r="I185" i="73"/>
  <c r="I183" i="73"/>
  <c r="I347" i="73"/>
  <c r="I336" i="73"/>
  <c r="I335" i="73"/>
  <c r="I338" i="73"/>
  <c r="I340" i="73"/>
  <c r="I337" i="73"/>
  <c r="I332" i="73"/>
  <c r="I329" i="73"/>
  <c r="I342" i="73"/>
  <c r="I343" i="73"/>
  <c r="I344" i="73"/>
  <c r="I333" i="73"/>
  <c r="I341" i="73"/>
  <c r="I334" i="73"/>
  <c r="I346" i="73"/>
  <c r="I345" i="73"/>
  <c r="I331" i="73"/>
  <c r="I339" i="73"/>
  <c r="I330" i="73"/>
  <c r="I125" i="73"/>
  <c r="I124" i="73"/>
  <c r="I323" i="73"/>
  <c r="I324" i="73"/>
  <c r="I322" i="73"/>
  <c r="I325" i="73"/>
  <c r="I213" i="73"/>
  <c r="I210" i="73"/>
  <c r="I209" i="73"/>
  <c r="I195" i="73"/>
  <c r="I201" i="73"/>
  <c r="I206" i="73"/>
  <c r="I208" i="73"/>
  <c r="I196" i="73"/>
  <c r="I200" i="73"/>
  <c r="I198" i="73"/>
  <c r="I202" i="73"/>
  <c r="I212" i="73"/>
  <c r="I197" i="73"/>
  <c r="I203" i="73"/>
  <c r="I205" i="73"/>
  <c r="I199" i="73"/>
  <c r="I211" i="73"/>
  <c r="I204" i="73"/>
  <c r="I207" i="73"/>
  <c r="I309" i="73"/>
  <c r="I145" i="73"/>
  <c r="I131" i="73"/>
  <c r="I143" i="73"/>
  <c r="I129" i="73"/>
  <c r="I139" i="73"/>
  <c r="I130" i="73"/>
  <c r="I136" i="73"/>
  <c r="I127" i="73"/>
  <c r="I133" i="73"/>
  <c r="I128" i="73"/>
  <c r="I132" i="73"/>
  <c r="I141" i="73"/>
  <c r="I134" i="73"/>
  <c r="I144" i="73"/>
  <c r="I138" i="73"/>
  <c r="I140" i="73"/>
  <c r="I142" i="73"/>
  <c r="I135" i="73"/>
  <c r="I137" i="73"/>
  <c r="I328" i="73"/>
  <c r="I319" i="73"/>
  <c r="I320" i="73"/>
  <c r="I318" i="73"/>
  <c r="I321" i="73"/>
  <c r="I315" i="73"/>
  <c r="I312" i="73"/>
  <c r="I314" i="73"/>
  <c r="I317" i="73"/>
  <c r="I281" i="73"/>
  <c r="I269" i="73"/>
  <c r="I276" i="73"/>
  <c r="I264" i="73"/>
  <c r="I271" i="73"/>
  <c r="I268" i="73"/>
  <c r="I280" i="73"/>
  <c r="I267" i="73"/>
  <c r="I265" i="73"/>
  <c r="I275" i="73"/>
  <c r="I273" i="73"/>
  <c r="I279" i="73"/>
  <c r="I274" i="73"/>
  <c r="I278" i="73"/>
  <c r="I272" i="73"/>
  <c r="I266" i="73"/>
  <c r="I277" i="73"/>
  <c r="I270" i="73"/>
  <c r="I263" i="73"/>
  <c r="I316" i="73"/>
  <c r="I39" i="73"/>
  <c r="I74" i="73"/>
  <c r="I58" i="73"/>
  <c r="I42" i="73"/>
  <c r="I65" i="73"/>
  <c r="I49" i="73"/>
  <c r="I72" i="73"/>
  <c r="I56" i="73"/>
  <c r="I40" i="73"/>
  <c r="I63" i="73"/>
  <c r="I47" i="73"/>
  <c r="I69" i="73"/>
  <c r="I44" i="73"/>
  <c r="I70" i="73"/>
  <c r="I54" i="73"/>
  <c r="I77" i="73"/>
  <c r="I61" i="73"/>
  <c r="I45" i="73"/>
  <c r="I68" i="73"/>
  <c r="I52" i="73"/>
  <c r="I75" i="73"/>
  <c r="I59" i="73"/>
  <c r="I43" i="73"/>
  <c r="I46" i="73"/>
  <c r="I53" i="73"/>
  <c r="I60" i="73"/>
  <c r="I51" i="73"/>
  <c r="I66" i="73"/>
  <c r="I50" i="73"/>
  <c r="I73" i="73"/>
  <c r="I57" i="73"/>
  <c r="I41" i="73"/>
  <c r="I64" i="73"/>
  <c r="I48" i="73"/>
  <c r="I71" i="73"/>
  <c r="I55" i="73"/>
  <c r="I62" i="73"/>
  <c r="I76" i="73"/>
  <c r="I67" i="73"/>
  <c r="I650" i="54" l="1"/>
  <c r="I696" i="54"/>
  <c r="D25" i="49"/>
  <c r="J698" i="54" l="1"/>
  <c r="J699" i="54"/>
  <c r="J653" i="54"/>
  <c r="J652" i="54"/>
  <c r="H66" i="79" a="1"/>
  <c r="H67" i="79" s="1"/>
  <c r="F17" i="73"/>
  <c r="F29" i="73"/>
  <c r="F85" i="73"/>
  <c r="F97" i="73"/>
  <c r="J654" i="54" l="1"/>
  <c r="J700" i="54"/>
  <c r="K67" i="79" s="1"/>
  <c r="J67" i="79" s="1"/>
  <c r="E6" i="79" s="1"/>
  <c r="H69" i="79"/>
  <c r="J69" i="79" s="1"/>
  <c r="E8" i="79" s="1"/>
  <c r="H66" i="79"/>
  <c r="H68" i="79"/>
  <c r="J68" i="79" s="1"/>
  <c r="E7" i="79" s="1"/>
  <c r="F299" i="73"/>
  <c r="F289" i="73"/>
  <c r="L293" i="73" s="1"/>
  <c r="L294" i="73" s="1"/>
  <c r="L91" i="73"/>
  <c r="L92" i="73" s="1"/>
  <c r="I91" i="73"/>
  <c r="I92" i="73" s="1"/>
  <c r="K91" i="73"/>
  <c r="K92" i="73" s="1"/>
  <c r="L23" i="73"/>
  <c r="L24" i="73" s="1"/>
  <c r="I23" i="73"/>
  <c r="I24" i="73" s="1"/>
  <c r="K23" i="73"/>
  <c r="K24" i="73" s="1"/>
  <c r="K66" i="79" l="1"/>
  <c r="J66" i="79" s="1"/>
  <c r="E5" i="79" s="1"/>
  <c r="F92" i="73"/>
  <c r="F101" i="73" s="1"/>
  <c r="K293" i="73"/>
  <c r="K294" i="73" s="1"/>
  <c r="I293" i="73"/>
  <c r="I294" i="73" s="1"/>
  <c r="F24" i="73"/>
  <c r="F33" i="73" s="1"/>
  <c r="F294" i="73" l="1"/>
  <c r="F303" i="73" s="1"/>
  <c r="F93" i="73"/>
  <c r="F25" i="73"/>
  <c r="F295" i="73" l="1"/>
  <c r="E4" i="79" l="1" a="1"/>
  <c r="E4" i="79" s="1"/>
  <c r="I37" i="49" s="1"/>
  <c r="I652" i="54"/>
  <c r="I698" i="54"/>
  <c r="I653" i="54"/>
  <c r="I699" i="54"/>
  <c r="I700" i="54" l="1"/>
  <c r="I654" i="54"/>
  <c r="D19" i="59"/>
  <c r="G82" i="53" l="1" a="1"/>
  <c r="G82" i="53" s="1"/>
  <c r="I82" i="53" l="1"/>
  <c r="H82" i="53"/>
  <c r="J82" i="53"/>
  <c r="K82" i="53"/>
  <c r="L82" i="53"/>
  <c r="I168" i="49" l="1"/>
  <c r="I126" i="49"/>
  <c r="I84" i="49" l="1"/>
  <c r="I42" i="49" l="1"/>
  <c r="F22" i="59" l="1"/>
  <c r="F535" i="59" l="1"/>
  <c r="F555" i="59" s="1"/>
  <c r="F1011" i="59"/>
  <c r="F297" i="59"/>
  <c r="F773" i="59"/>
  <c r="F536" i="59" l="1"/>
  <c r="F565" i="59"/>
  <c r="F540" i="59"/>
  <c r="F558" i="59"/>
  <c r="F562" i="59"/>
  <c r="F556" i="59"/>
  <c r="F561" i="59"/>
  <c r="F548" i="59"/>
  <c r="F545" i="59"/>
  <c r="F542" i="59"/>
  <c r="F539" i="59"/>
  <c r="F564" i="59"/>
  <c r="F549" i="59"/>
  <c r="F546" i="59"/>
  <c r="F543" i="59"/>
  <c r="F544" i="59"/>
  <c r="F552" i="59"/>
  <c r="F537" i="59"/>
  <c r="F553" i="59"/>
  <c r="F569" i="59"/>
  <c r="F550" i="59"/>
  <c r="F566" i="59"/>
  <c r="F559" i="59"/>
  <c r="F560" i="59"/>
  <c r="F568" i="59"/>
  <c r="F541" i="59"/>
  <c r="F557" i="59"/>
  <c r="F538" i="59"/>
  <c r="F554" i="59"/>
  <c r="F570" i="59"/>
  <c r="F563" i="59"/>
  <c r="F567" i="59"/>
  <c r="F547" i="59"/>
  <c r="F551" i="59"/>
  <c r="F1046" i="59"/>
  <c r="F1042" i="59"/>
  <c r="F1038" i="59"/>
  <c r="F1034" i="59"/>
  <c r="F1030" i="59"/>
  <c r="F1026" i="59"/>
  <c r="F1022" i="59"/>
  <c r="F1018" i="59"/>
  <c r="F1014" i="59"/>
  <c r="F1045" i="59"/>
  <c r="F1041" i="59"/>
  <c r="F1037" i="59"/>
  <c r="F1033" i="59"/>
  <c r="F1029" i="59"/>
  <c r="F1025" i="59"/>
  <c r="F1021" i="59"/>
  <c r="F1017" i="59"/>
  <c r="F1013" i="59"/>
  <c r="F1044" i="59"/>
  <c r="F1040" i="59"/>
  <c r="F1036" i="59"/>
  <c r="F1032" i="59"/>
  <c r="F1028" i="59"/>
  <c r="F1024" i="59"/>
  <c r="F1020" i="59"/>
  <c r="F1016" i="59"/>
  <c r="F1012" i="59"/>
  <c r="F1043" i="59"/>
  <c r="F1027" i="59"/>
  <c r="F1039" i="59"/>
  <c r="F1023" i="59"/>
  <c r="F1035" i="59"/>
  <c r="F1019" i="59"/>
  <c r="F1031" i="59"/>
  <c r="F1015" i="59"/>
  <c r="F807" i="59"/>
  <c r="F803" i="59"/>
  <c r="F799" i="59"/>
  <c r="F795" i="59"/>
  <c r="F791" i="59"/>
  <c r="F787" i="59"/>
  <c r="F783" i="59"/>
  <c r="F779" i="59"/>
  <c r="F806" i="59"/>
  <c r="F802" i="59"/>
  <c r="F798" i="59"/>
  <c r="F794" i="59"/>
  <c r="F790" i="59"/>
  <c r="F786" i="59"/>
  <c r="F782" i="59"/>
  <c r="F805" i="59"/>
  <c r="F801" i="59"/>
  <c r="F797" i="59"/>
  <c r="F793" i="59"/>
  <c r="F789" i="59"/>
  <c r="F785" i="59"/>
  <c r="F781" i="59"/>
  <c r="F777" i="59"/>
  <c r="F808" i="59"/>
  <c r="F792" i="59"/>
  <c r="F778" i="59"/>
  <c r="F774" i="59"/>
  <c r="F804" i="59"/>
  <c r="F788" i="59"/>
  <c r="F776" i="59"/>
  <c r="F800" i="59"/>
  <c r="F784" i="59"/>
  <c r="F775" i="59"/>
  <c r="F796" i="59"/>
  <c r="F780" i="59"/>
  <c r="F332" i="59"/>
  <c r="F328" i="59"/>
  <c r="F324" i="59"/>
  <c r="F320" i="59"/>
  <c r="F316" i="59"/>
  <c r="F312" i="59"/>
  <c r="F308" i="59"/>
  <c r="F304" i="59"/>
  <c r="F300" i="59"/>
  <c r="F331" i="59"/>
  <c r="F327" i="59"/>
  <c r="F323" i="59"/>
  <c r="F319" i="59"/>
  <c r="F315" i="59"/>
  <c r="F311" i="59"/>
  <c r="F307" i="59"/>
  <c r="F303" i="59"/>
  <c r="F299" i="59"/>
  <c r="F330" i="59"/>
  <c r="F326" i="59"/>
  <c r="F322" i="59"/>
  <c r="F318" i="59"/>
  <c r="F314" i="59"/>
  <c r="F310" i="59"/>
  <c r="F306" i="59"/>
  <c r="F302" i="59"/>
  <c r="F298" i="59"/>
  <c r="F329" i="59"/>
  <c r="F325" i="59"/>
  <c r="F321" i="59"/>
  <c r="F317" i="59"/>
  <c r="F313" i="59"/>
  <c r="F309" i="59"/>
  <c r="F305" i="59"/>
  <c r="F301" i="59"/>
  <c r="O26" i="59" a="1"/>
  <c r="R26" i="59" l="1"/>
  <c r="T26" i="59"/>
  <c r="Q26" i="59"/>
  <c r="P26" i="59"/>
  <c r="U26" i="59"/>
  <c r="S26" i="59"/>
  <c r="O26" i="59"/>
  <c r="F218" i="68" l="1"/>
  <c r="F195" i="68"/>
  <c r="F217" i="68" l="1"/>
  <c r="C5" i="67" l="1" a="1"/>
  <c r="C7" i="54" a="1"/>
  <c r="C24" i="49" a="1"/>
  <c r="C74" i="79" a="1"/>
  <c r="C66" i="79" a="1"/>
  <c r="C5" i="59" a="1"/>
  <c r="C6" i="73" a="1"/>
  <c r="C12" i="59" a="1"/>
  <c r="C5" i="79" a="1"/>
  <c r="C536" i="59" a="1"/>
  <c r="C575" i="59" a="1"/>
  <c r="C255" i="54" a="1"/>
  <c r="C200" i="53" a="1"/>
  <c r="C68" i="59" a="1"/>
  <c r="C105" i="67" a="1"/>
  <c r="C440" i="67" a="1"/>
  <c r="C87" i="49" a="1"/>
  <c r="C614" i="59" a="1"/>
  <c r="C478" i="67" a="1"/>
  <c r="C498" i="59" a="1"/>
  <c r="C909" i="67" a="1"/>
  <c r="C331" i="65" a="1"/>
  <c r="C42" i="66" a="1"/>
  <c r="C144" i="67" a="1"/>
  <c r="C294" i="54" a="1"/>
  <c r="C458" i="59" a="1"/>
  <c r="C736" i="67" a="1"/>
  <c r="C162" i="53" a="1"/>
  <c r="C187" i="65" a="1"/>
  <c r="C42" i="65" a="1"/>
  <c r="C475" i="65" a="1"/>
  <c r="C176" i="54" a="1"/>
  <c r="C216" i="54" a="1"/>
  <c r="C419" i="59" a="1"/>
  <c r="C124" i="53" a="1"/>
  <c r="C704" i="54" a="1"/>
  <c r="C186" i="66" a="1"/>
  <c r="C312" i="67" a="1"/>
  <c r="C257" i="65" a="1"/>
  <c r="C989" i="67" a="1"/>
  <c r="C895" i="59" a="1"/>
  <c r="C434" i="53" a="1"/>
  <c r="C140" i="59" a="1"/>
  <c r="C934" i="59" a="1"/>
  <c r="C256" i="66" a="1"/>
  <c r="C974" i="59" a="1"/>
  <c r="C1051" i="59" a="1"/>
  <c r="C545" i="65" a="1"/>
  <c r="C396" i="53" a="1"/>
  <c r="C532" i="54" a="1"/>
  <c r="C273" i="67" a="1"/>
  <c r="C1090" i="59" a="1"/>
  <c r="C828" i="67" a="1"/>
  <c r="C796" i="54" a="1"/>
  <c r="C358" i="53" a="1"/>
  <c r="C571" i="54" a="1"/>
  <c r="C642" i="67" a="1"/>
  <c r="C1012" i="59" a="1"/>
  <c r="C112" i="66" a="1"/>
  <c r="C610" i="54" a="1"/>
  <c r="C112" i="65" a="1"/>
  <c r="C492" i="54" a="1"/>
  <c r="C171" i="49" a="1"/>
  <c r="C401" i="65" a="1"/>
  <c r="C604" i="67" a="1"/>
  <c r="C79" i="51"/>
  <c r="K77" i="51"/>
  <c r="F77" i="51"/>
  <c r="C81" i="51"/>
  <c r="F76" i="51"/>
  <c r="D79" i="51"/>
  <c r="E81" i="51"/>
  <c r="D80" i="51"/>
  <c r="H76" i="51"/>
  <c r="G76" i="51"/>
  <c r="E78" i="51"/>
  <c r="L778" i="67"/>
  <c r="D76" i="51"/>
  <c r="D81" i="51"/>
  <c r="C78" i="51"/>
  <c r="L732" i="67"/>
  <c r="E79" i="51"/>
  <c r="H77" i="51"/>
  <c r="G77" i="51"/>
  <c r="L686" i="67"/>
  <c r="J77" i="51"/>
  <c r="E76" i="51"/>
  <c r="I77" i="51"/>
  <c r="L824" i="67"/>
  <c r="D78" i="51"/>
  <c r="C76" i="51"/>
  <c r="C77" i="51"/>
  <c r="E80" i="51"/>
  <c r="E77" i="51"/>
  <c r="C80" i="51"/>
  <c r="D77" i="51"/>
  <c r="C104" i="59" a="1"/>
  <c r="C77" i="65" a="1"/>
  <c r="C366" i="65" a="1"/>
  <c r="C334" i="54" a="1"/>
  <c r="C774" i="59" a="1"/>
  <c r="C522" i="67" a="1"/>
  <c r="C221" i="66" a="1"/>
  <c r="C77" i="66" a="1"/>
  <c r="C750" i="54" a="1"/>
  <c r="C189" i="67" a="1"/>
  <c r="C657" i="59" a="1"/>
  <c r="C949" i="67" a="1"/>
  <c r="C510" i="65" a="1"/>
  <c r="C374" i="54" a="1"/>
  <c r="C222" i="65" a="1"/>
  <c r="C782" i="67" a="1"/>
  <c r="C228" i="67" a="1"/>
  <c r="C241" i="53" a="1"/>
  <c r="C736" i="59" a="1"/>
  <c r="C813" i="59" a="1"/>
  <c r="C279" i="53" a="1"/>
  <c r="C317" i="53" a="1"/>
  <c r="C452" i="54" a="1"/>
  <c r="C129" i="49" a="1"/>
  <c r="C413" i="54" a="1"/>
  <c r="C696" i="59" a="1"/>
  <c r="C852" i="59" a="1"/>
  <c r="C560" i="67" a="1"/>
  <c r="C396" i="67" a="1"/>
  <c r="C690" i="67" a="1"/>
  <c r="C45" i="53" a="1"/>
  <c r="C45" i="49" a="1"/>
  <c r="C7" i="66" a="1"/>
  <c r="C60" i="67" a="1"/>
  <c r="C58" i="54" a="1"/>
  <c r="C658" i="54" a="1"/>
  <c r="C18" i="54" a="1"/>
  <c r="C337" i="59" a="1"/>
  <c r="C32" i="59" a="1"/>
  <c r="C220" i="59" a="1"/>
  <c r="C7" i="53" a="1"/>
  <c r="C181" i="59" a="1"/>
  <c r="C869" i="67" a="1"/>
  <c r="C83" i="53" a="1"/>
  <c r="C376" i="59" a="1"/>
  <c r="C152" i="65" a="1"/>
  <c r="C151" i="66" a="1"/>
  <c r="C296" i="65" a="1"/>
  <c r="C7" i="65" a="1"/>
  <c r="C136" i="54" a="1"/>
  <c r="C298" i="59" a="1"/>
  <c r="C97" i="54" a="1"/>
  <c r="C358" i="67" a="1"/>
  <c r="C440" i="65" a="1"/>
  <c r="C21" i="67" a="1"/>
  <c r="C260" i="59" a="1"/>
  <c r="C75" i="51" l="1" a="1"/>
  <c r="C75" i="51" s="1"/>
  <c r="D15" i="49" s="1"/>
  <c r="D14" i="49" s="1"/>
  <c r="J218" i="68" l="1"/>
  <c r="J195" i="68" l="1"/>
  <c r="L218" i="68"/>
  <c r="J217" i="68"/>
  <c r="L195" i="68"/>
  <c r="L217" i="68"/>
  <c r="O188" i="68" l="1"/>
  <c r="O166" i="68" l="1"/>
  <c r="J729" i="67" l="1" a="1"/>
  <c r="J821" i="67" a="1"/>
  <c r="J775" i="67" a="1"/>
  <c r="J683" i="67" a="1"/>
  <c r="L16" i="67" a="1"/>
  <c r="L16" i="67" s="1"/>
  <c r="L268" i="67" a="1"/>
  <c r="L268" i="67" s="1"/>
  <c r="L100" i="67" a="1"/>
  <c r="L100" i="67" s="1"/>
  <c r="L184" i="67" a="1"/>
  <c r="L184" i="67" s="1"/>
  <c r="H184" i="67" l="1" a="1"/>
  <c r="H100" i="67" a="1"/>
  <c r="H16" i="67" a="1"/>
  <c r="H607" i="54" a="1"/>
  <c r="H607" i="54" s="1"/>
  <c r="H291" i="54" a="1"/>
  <c r="H291" i="54" s="1"/>
  <c r="H133" i="54" a="1"/>
  <c r="H133" i="54" s="1"/>
  <c r="H449" i="54" a="1"/>
  <c r="H449" i="54" s="1"/>
  <c r="D32" i="59" a="1"/>
  <c r="J133" i="54" l="1"/>
  <c r="I133" i="54"/>
  <c r="D68" i="59" a="1"/>
  <c r="J291" i="54"/>
  <c r="I291" i="54"/>
  <c r="D104" i="59" a="1"/>
  <c r="D140" i="59" a="1"/>
  <c r="J607" i="54"/>
  <c r="I607" i="54"/>
  <c r="J449" i="54"/>
  <c r="I449" i="54"/>
  <c r="H599" i="67" l="1" a="1"/>
  <c r="H435" i="67" a="1"/>
  <c r="H517" i="67" a="1"/>
  <c r="H353" i="67" a="1"/>
  <c r="P353" i="67" l="1"/>
  <c r="H353" i="67"/>
  <c r="L353" i="67"/>
  <c r="N353" i="67"/>
  <c r="P517" i="67"/>
  <c r="L517" i="67"/>
  <c r="N517" i="67"/>
  <c r="H517" i="67"/>
  <c r="P435" i="67"/>
  <c r="N435" i="67"/>
  <c r="L435" i="67"/>
  <c r="H435" i="67"/>
  <c r="H599" i="67"/>
  <c r="L599" i="67"/>
  <c r="P599" i="67"/>
  <c r="N599" i="67"/>
  <c r="F458" i="59" l="1" a="1"/>
  <c r="F934" i="59" a="1"/>
  <c r="U657" i="59" a="1"/>
  <c r="U181" i="59" a="1"/>
  <c r="U419" i="59" a="1"/>
  <c r="F696" i="59" a="1"/>
  <c r="F220" i="59" a="1"/>
  <c r="U895" i="59" a="1"/>
  <c r="H21" i="67" l="1" a="1"/>
  <c r="H105" i="67" a="1"/>
  <c r="G895" i="59" a="1"/>
  <c r="M181" i="59" a="1"/>
  <c r="G419" i="59" a="1"/>
  <c r="H273" i="67" a="1"/>
  <c r="O657" i="59" a="1"/>
  <c r="M657" i="59" a="1"/>
  <c r="M419" i="59" a="1"/>
  <c r="G657" i="59" a="1"/>
  <c r="L189" i="67" a="1"/>
  <c r="O895" i="59" a="1"/>
  <c r="G181" i="59" a="1"/>
  <c r="O419" i="59" a="1"/>
  <c r="H189" i="67" a="1"/>
  <c r="O181" i="59" a="1"/>
  <c r="L273" i="67" a="1"/>
  <c r="M895" i="59" a="1"/>
  <c r="L105" i="67" a="1"/>
  <c r="L21" i="67" a="1"/>
  <c r="L435" i="59" l="1"/>
  <c r="L445" i="59"/>
  <c r="L422" i="59"/>
  <c r="L430" i="59"/>
  <c r="L440" i="59"/>
  <c r="L448" i="59"/>
  <c r="L451" i="59"/>
  <c r="L449" i="59"/>
  <c r="L431" i="59"/>
  <c r="L450" i="59"/>
  <c r="L426" i="59"/>
  <c r="L452" i="59"/>
  <c r="L432" i="59"/>
  <c r="L441" i="59"/>
  <c r="L447" i="59"/>
  <c r="L442" i="59"/>
  <c r="L438" i="59"/>
  <c r="L425" i="59"/>
  <c r="L427" i="59"/>
  <c r="L419" i="59"/>
  <c r="L444" i="59"/>
  <c r="L420" i="59"/>
  <c r="L453" i="59"/>
  <c r="L443" i="59"/>
  <c r="L428" i="59"/>
  <c r="L436" i="59"/>
  <c r="L423" i="59"/>
  <c r="L439" i="59"/>
  <c r="L429" i="59"/>
  <c r="L421" i="59"/>
  <c r="L434" i="59"/>
  <c r="L437" i="59"/>
  <c r="L446" i="59"/>
  <c r="L433" i="59"/>
  <c r="L424" i="59"/>
  <c r="L198" i="59"/>
  <c r="L214" i="59"/>
  <c r="L211" i="59"/>
  <c r="L190" i="59"/>
  <c r="L215" i="59"/>
  <c r="L181" i="59"/>
  <c r="L203" i="59"/>
  <c r="L191" i="59"/>
  <c r="L206" i="59"/>
  <c r="L207" i="59"/>
  <c r="L193" i="59"/>
  <c r="L192" i="59"/>
  <c r="L199" i="59"/>
  <c r="L212" i="59"/>
  <c r="L183" i="59"/>
  <c r="L188" i="59"/>
  <c r="L208" i="59"/>
  <c r="L194" i="59"/>
  <c r="L195" i="59"/>
  <c r="L196" i="59"/>
  <c r="L205" i="59"/>
  <c r="L197" i="59"/>
  <c r="L204" i="59"/>
  <c r="L187" i="59"/>
  <c r="L189" i="59"/>
  <c r="L182" i="59"/>
  <c r="L209" i="59"/>
  <c r="L210" i="59"/>
  <c r="L200" i="59"/>
  <c r="L186" i="59"/>
  <c r="L184" i="59"/>
  <c r="L185" i="59"/>
  <c r="L213" i="59"/>
  <c r="L201" i="59"/>
  <c r="L202" i="59"/>
  <c r="L675" i="59"/>
  <c r="L677" i="59"/>
  <c r="L690" i="59"/>
  <c r="L657" i="59"/>
  <c r="L661" i="59"/>
  <c r="L681" i="59"/>
  <c r="L679" i="59"/>
  <c r="L685" i="59"/>
  <c r="L688" i="59"/>
  <c r="L676" i="59"/>
  <c r="L686" i="59"/>
  <c r="L680" i="59"/>
  <c r="L672" i="59"/>
  <c r="L663" i="59"/>
  <c r="L666" i="59"/>
  <c r="L660" i="59"/>
  <c r="L687" i="59"/>
  <c r="L678" i="59"/>
  <c r="L658" i="59"/>
  <c r="L683" i="59"/>
  <c r="L674" i="59"/>
  <c r="L662" i="59"/>
  <c r="L664" i="59"/>
  <c r="L665" i="59"/>
  <c r="L659" i="59"/>
  <c r="L689" i="59"/>
  <c r="L684" i="59"/>
  <c r="L673" i="59"/>
  <c r="L667" i="59"/>
  <c r="L682" i="59"/>
  <c r="L668" i="59"/>
  <c r="L691" i="59"/>
  <c r="L671" i="59"/>
  <c r="L669" i="59"/>
  <c r="L670" i="59"/>
  <c r="L903" i="59"/>
  <c r="L917" i="59"/>
  <c r="L918" i="59"/>
  <c r="L927" i="59"/>
  <c r="L925" i="59"/>
  <c r="L896" i="59"/>
  <c r="L911" i="59"/>
  <c r="L905" i="59"/>
  <c r="L907" i="59"/>
  <c r="L915" i="59"/>
  <c r="L920" i="59"/>
  <c r="L898" i="59"/>
  <c r="L928" i="59"/>
  <c r="L924" i="59"/>
  <c r="L910" i="59"/>
  <c r="L929" i="59"/>
  <c r="L908" i="59"/>
  <c r="L902" i="59"/>
  <c r="L897" i="59"/>
  <c r="L904" i="59"/>
  <c r="L926" i="59"/>
  <c r="L901" i="59"/>
  <c r="L913" i="59"/>
  <c r="L909" i="59"/>
  <c r="L906" i="59"/>
  <c r="L921" i="59"/>
  <c r="L916" i="59"/>
  <c r="L914" i="59"/>
  <c r="L923" i="59"/>
  <c r="L922" i="59"/>
  <c r="L895" i="59"/>
  <c r="L919" i="59"/>
  <c r="L912" i="59"/>
  <c r="L900" i="59"/>
  <c r="L899" i="59"/>
  <c r="L894" i="59" l="1"/>
  <c r="L656" i="59"/>
  <c r="L180" i="59"/>
  <c r="L418" i="59"/>
  <c r="H45" i="49" l="1" a="1"/>
  <c r="F4" i="67" a="1"/>
  <c r="H87" i="49" a="1"/>
  <c r="H129" i="49" a="1"/>
  <c r="H171" i="49" a="1"/>
  <c r="F11" i="59" l="1" a="1"/>
  <c r="F45" i="49" a="1"/>
  <c r="F129" i="49" l="1" a="1"/>
  <c r="F4" i="59" l="1" a="1"/>
  <c r="H166" i="68" l="1"/>
  <c r="H268" i="67" l="1" a="1"/>
  <c r="J268" i="67"/>
  <c r="J100" i="67"/>
  <c r="J16" i="67"/>
  <c r="J184" i="67"/>
  <c r="K188" i="68"/>
  <c r="K166" i="68"/>
  <c r="L188" i="68"/>
  <c r="L166" i="68"/>
  <c r="F188" i="68"/>
  <c r="F166" i="68"/>
  <c r="G188" i="68"/>
  <c r="G166" i="68"/>
  <c r="F246" i="68"/>
  <c r="F223" i="68"/>
  <c r="H188" i="68"/>
  <c r="F245" i="68"/>
  <c r="G245" i="68"/>
  <c r="G223" i="68"/>
  <c r="H245" i="68"/>
  <c r="H223" i="68"/>
  <c r="I38" i="68"/>
  <c r="I61" i="68"/>
  <c r="D60" i="68" s="1"/>
  <c r="D7" i="49" s="1"/>
  <c r="N188" i="68" l="1"/>
  <c r="D188" i="68" s="1"/>
  <c r="D10" i="49" s="1"/>
  <c r="K821" i="67"/>
  <c r="K729" i="67"/>
  <c r="K683" i="67"/>
  <c r="K775" i="67"/>
  <c r="M16" i="67"/>
  <c r="M184" i="67"/>
  <c r="M100" i="67"/>
  <c r="M268" i="67"/>
  <c r="I268" i="67"/>
  <c r="I100" i="67"/>
  <c r="I16" i="67"/>
  <c r="I184" i="67"/>
  <c r="H268" i="67"/>
  <c r="H100" i="67"/>
  <c r="H16" i="67"/>
  <c r="H184" i="67"/>
  <c r="D245" i="68"/>
  <c r="D12" i="49" s="1"/>
  <c r="L729" i="67"/>
  <c r="L821" i="67"/>
  <c r="L683" i="67"/>
  <c r="L775" i="67"/>
  <c r="N16" i="67"/>
  <c r="N268" i="67"/>
  <c r="N100" i="67"/>
  <c r="N184" i="67"/>
  <c r="J821" i="67"/>
  <c r="J729" i="67"/>
  <c r="J775" i="67"/>
  <c r="J683" i="67"/>
  <c r="G26" i="59" a="1"/>
  <c r="H195" i="68"/>
  <c r="H218" i="68"/>
  <c r="H217" i="68"/>
  <c r="I195" i="68"/>
  <c r="I218" i="68"/>
  <c r="I217" i="68"/>
  <c r="J353" i="67" l="1"/>
  <c r="J599" i="67"/>
  <c r="J435" i="67"/>
  <c r="J517" i="67"/>
  <c r="K517" i="67"/>
  <c r="K353" i="67"/>
  <c r="K435" i="67"/>
  <c r="K599" i="67"/>
  <c r="G26" i="59"/>
  <c r="L26" i="59"/>
  <c r="K26" i="59"/>
  <c r="H26" i="59"/>
  <c r="M26" i="59"/>
  <c r="I26" i="59"/>
  <c r="J26" i="59"/>
  <c r="I175" i="51" a="1"/>
  <c r="I175" i="51" s="1"/>
  <c r="D108" i="59" s="1"/>
  <c r="B108" i="59" s="1"/>
  <c r="I185" i="51" a="1"/>
  <c r="I185" i="51" s="1"/>
  <c r="D118" i="59" s="1"/>
  <c r="B118" i="59" s="1"/>
  <c r="I186" i="51" a="1"/>
  <c r="I186" i="51" s="1"/>
  <c r="D119" i="59" s="1"/>
  <c r="B119" i="59" s="1"/>
  <c r="I201" i="51" a="1"/>
  <c r="I201" i="51" s="1"/>
  <c r="D134" i="59" s="1"/>
  <c r="B134" i="59" s="1"/>
  <c r="I191" i="51" a="1"/>
  <c r="I191" i="51" s="1"/>
  <c r="D124" i="59" s="1"/>
  <c r="B124" i="59" s="1"/>
  <c r="I193" i="51" a="1"/>
  <c r="I193" i="51" s="1"/>
  <c r="D126" i="59" s="1"/>
  <c r="B126" i="59" s="1"/>
  <c r="I202" i="51" a="1"/>
  <c r="I202" i="51" s="1"/>
  <c r="D135" i="59" s="1"/>
  <c r="B135" i="59" s="1"/>
  <c r="I183" i="51" a="1"/>
  <c r="I183" i="51" s="1"/>
  <c r="D116" i="59" s="1"/>
  <c r="B116" i="59" s="1"/>
  <c r="I188" i="51" a="1"/>
  <c r="I188" i="51" s="1"/>
  <c r="D121" i="59" s="1"/>
  <c r="B121" i="59" s="1"/>
  <c r="I205" i="51" a="1"/>
  <c r="I205" i="51" s="1"/>
  <c r="D138" i="59" s="1"/>
  <c r="B138" i="59" s="1"/>
  <c r="I194" i="51" a="1"/>
  <c r="I194" i="51" s="1"/>
  <c r="D127" i="59" s="1"/>
  <c r="B127" i="59" s="1"/>
  <c r="I171" i="51" a="1"/>
  <c r="I171" i="51" s="1"/>
  <c r="D104" i="59" s="1"/>
  <c r="B104" i="59" s="1"/>
  <c r="I196" i="51" a="1"/>
  <c r="I196" i="51" s="1"/>
  <c r="D129" i="59" s="1"/>
  <c r="B129" i="59" s="1"/>
  <c r="I190" i="51" a="1"/>
  <c r="I190" i="51" s="1"/>
  <c r="D123" i="59" s="1"/>
  <c r="B123" i="59" s="1"/>
  <c r="I178" i="51" a="1"/>
  <c r="I178" i="51" s="1"/>
  <c r="D111" i="59" s="1"/>
  <c r="B111" i="59" s="1"/>
  <c r="I199" i="51" a="1"/>
  <c r="I199" i="51" s="1"/>
  <c r="D132" i="59" s="1"/>
  <c r="B132" i="59" s="1"/>
  <c r="I179" i="51" a="1"/>
  <c r="I179" i="51" s="1"/>
  <c r="D112" i="59" s="1"/>
  <c r="B112" i="59" s="1"/>
  <c r="I204" i="51" a="1"/>
  <c r="I204" i="51" s="1"/>
  <c r="D137" i="59" s="1"/>
  <c r="B137" i="59" s="1"/>
  <c r="I198" i="51" a="1"/>
  <c r="I198" i="51" s="1"/>
  <c r="D131" i="59" s="1"/>
  <c r="B131" i="59" s="1"/>
  <c r="I177" i="51" a="1"/>
  <c r="I177" i="51" s="1"/>
  <c r="D110" i="59" s="1"/>
  <c r="B110" i="59" s="1"/>
  <c r="I187" i="51" a="1"/>
  <c r="I187" i="51" s="1"/>
  <c r="D120" i="59" s="1"/>
  <c r="B120" i="59" s="1"/>
  <c r="I182" i="51" a="1"/>
  <c r="I182" i="51" s="1"/>
  <c r="D115" i="59" s="1"/>
  <c r="B115" i="59" s="1"/>
  <c r="I174" i="51" a="1"/>
  <c r="I174" i="51" s="1"/>
  <c r="D107" i="59" s="1"/>
  <c r="B107" i="59" s="1"/>
  <c r="I195" i="51" a="1"/>
  <c r="I195" i="51" s="1"/>
  <c r="D128" i="59" s="1"/>
  <c r="B128" i="59" s="1"/>
  <c r="I173" i="51" a="1"/>
  <c r="I173" i="51" s="1"/>
  <c r="D106" i="59" s="1"/>
  <c r="B106" i="59" s="1"/>
  <c r="I176" i="51" a="1"/>
  <c r="I176" i="51" s="1"/>
  <c r="D109" i="59" s="1"/>
  <c r="B109" i="59" s="1"/>
  <c r="I203" i="51" a="1"/>
  <c r="I203" i="51" s="1"/>
  <c r="D136" i="59" s="1"/>
  <c r="B136" i="59" s="1"/>
  <c r="I181" i="51" a="1"/>
  <c r="I181" i="51" s="1"/>
  <c r="D114" i="59" s="1"/>
  <c r="B114" i="59" s="1"/>
  <c r="I184" i="51" a="1"/>
  <c r="I184" i="51" s="1"/>
  <c r="D117" i="59" s="1"/>
  <c r="B117" i="59" s="1"/>
  <c r="I172" i="51" a="1"/>
  <c r="I172" i="51" s="1"/>
  <c r="D105" i="59" s="1"/>
  <c r="B105" i="59" s="1"/>
  <c r="I189" i="51" a="1"/>
  <c r="I189" i="51" s="1"/>
  <c r="D122" i="59" s="1"/>
  <c r="B122" i="59" s="1"/>
  <c r="I192" i="51" a="1"/>
  <c r="I192" i="51" s="1"/>
  <c r="D125" i="59" s="1"/>
  <c r="B125" i="59" s="1"/>
  <c r="I180" i="51" a="1"/>
  <c r="I180" i="51" s="1"/>
  <c r="D113" i="59" s="1"/>
  <c r="B113" i="59" s="1"/>
  <c r="I197" i="51" a="1"/>
  <c r="I197" i="51" s="1"/>
  <c r="D130" i="59" s="1"/>
  <c r="B130" i="59" s="1"/>
  <c r="I200" i="51" a="1"/>
  <c r="I200" i="51" s="1"/>
  <c r="D133" i="59" s="1"/>
  <c r="B133" i="59" s="1"/>
  <c r="I159" i="51" a="1"/>
  <c r="I159" i="51" s="1"/>
  <c r="D95" i="59" s="1"/>
  <c r="B95" i="59" s="1"/>
  <c r="I155" i="51" a="1"/>
  <c r="I155" i="51" s="1"/>
  <c r="D91" i="59" s="1"/>
  <c r="B91" i="59" s="1"/>
  <c r="I132" i="51" a="1"/>
  <c r="I132" i="51" s="1"/>
  <c r="D68" i="59" s="1"/>
  <c r="B68" i="59" s="1"/>
  <c r="I157" i="51" a="1"/>
  <c r="I157" i="51" s="1"/>
  <c r="D93" i="59" s="1"/>
  <c r="B93" i="59" s="1"/>
  <c r="I143" i="51" a="1"/>
  <c r="I143" i="51" s="1"/>
  <c r="D79" i="59" s="1"/>
  <c r="B79" i="59" s="1"/>
  <c r="I144" i="51" a="1"/>
  <c r="I144" i="51" s="1"/>
  <c r="D80" i="59" s="1"/>
  <c r="B80" i="59" s="1"/>
  <c r="I140" i="51" a="1"/>
  <c r="I140" i="51" s="1"/>
  <c r="D76" i="59" s="1"/>
  <c r="B76" i="59" s="1"/>
  <c r="I165" i="51" a="1"/>
  <c r="I165" i="51" s="1"/>
  <c r="D101" i="59" s="1"/>
  <c r="B101" i="59" s="1"/>
  <c r="I151" i="51" a="1"/>
  <c r="I151" i="51" s="1"/>
  <c r="D87" i="59" s="1"/>
  <c r="B87" i="59" s="1"/>
  <c r="I160" i="51" a="1"/>
  <c r="I160" i="51" s="1"/>
  <c r="D96" i="59" s="1"/>
  <c r="B96" i="59" s="1"/>
  <c r="I148" i="51" a="1"/>
  <c r="I148" i="51" s="1"/>
  <c r="D84" i="59" s="1"/>
  <c r="B84" i="59" s="1"/>
  <c r="I134" i="51" a="1"/>
  <c r="I134" i="51" s="1"/>
  <c r="D70" i="59" s="1"/>
  <c r="B70" i="59" s="1"/>
  <c r="I137" i="51" a="1"/>
  <c r="I137" i="51" s="1"/>
  <c r="D73" i="59" s="1"/>
  <c r="B73" i="59" s="1"/>
  <c r="I152" i="51" a="1"/>
  <c r="I152" i="51" s="1"/>
  <c r="D88" i="59" s="1"/>
  <c r="B88" i="59" s="1"/>
  <c r="I156" i="51" a="1"/>
  <c r="I156" i="51" s="1"/>
  <c r="D92" i="59" s="1"/>
  <c r="B92" i="59" s="1"/>
  <c r="I142" i="51" a="1"/>
  <c r="I142" i="51" s="1"/>
  <c r="D78" i="59" s="1"/>
  <c r="B78" i="59" s="1"/>
  <c r="I145" i="51" a="1"/>
  <c r="I145" i="51" s="1"/>
  <c r="D81" i="59" s="1"/>
  <c r="B81" i="59" s="1"/>
  <c r="I164" i="51" a="1"/>
  <c r="I164" i="51" s="1"/>
  <c r="D100" i="59" s="1"/>
  <c r="B100" i="59" s="1"/>
  <c r="I150" i="51" a="1"/>
  <c r="I150" i="51" s="1"/>
  <c r="D86" i="59" s="1"/>
  <c r="B86" i="59" s="1"/>
  <c r="I153" i="51" a="1"/>
  <c r="I153" i="51" s="1"/>
  <c r="D89" i="59" s="1"/>
  <c r="B89" i="59" s="1"/>
  <c r="I154" i="51" a="1"/>
  <c r="I154" i="51" s="1"/>
  <c r="D90" i="59" s="1"/>
  <c r="B90" i="59" s="1"/>
  <c r="I139" i="51" a="1"/>
  <c r="I139" i="51" s="1"/>
  <c r="D75" i="59" s="1"/>
  <c r="B75" i="59" s="1"/>
  <c r="I162" i="51" a="1"/>
  <c r="I162" i="51" s="1"/>
  <c r="D98" i="59" s="1"/>
  <c r="B98" i="59" s="1"/>
  <c r="I133" i="51" a="1"/>
  <c r="I133" i="51" s="1"/>
  <c r="D69" i="59" s="1"/>
  <c r="B69" i="59" s="1"/>
  <c r="I158" i="51" a="1"/>
  <c r="I158" i="51" s="1"/>
  <c r="D94" i="59" s="1"/>
  <c r="B94" i="59" s="1"/>
  <c r="I161" i="51" a="1"/>
  <c r="I161" i="51" s="1"/>
  <c r="D97" i="59" s="1"/>
  <c r="B97" i="59" s="1"/>
  <c r="I141" i="51" a="1"/>
  <c r="I141" i="51" s="1"/>
  <c r="D77" i="59" s="1"/>
  <c r="B77" i="59" s="1"/>
  <c r="I166" i="51" a="1"/>
  <c r="I166" i="51" s="1"/>
  <c r="D102" i="59" s="1"/>
  <c r="B102" i="59" s="1"/>
  <c r="I138" i="51" a="1"/>
  <c r="I138" i="51" s="1"/>
  <c r="D74" i="59" s="1"/>
  <c r="B74" i="59" s="1"/>
  <c r="I136" i="51" a="1"/>
  <c r="I136" i="51" s="1"/>
  <c r="D72" i="59" s="1"/>
  <c r="B72" i="59" s="1"/>
  <c r="I149" i="51" a="1"/>
  <c r="I149" i="51" s="1"/>
  <c r="D85" i="59" s="1"/>
  <c r="B85" i="59" s="1"/>
  <c r="I135" i="51" a="1"/>
  <c r="I135" i="51" s="1"/>
  <c r="D71" i="59" s="1"/>
  <c r="B71" i="59" s="1"/>
  <c r="I146" i="51" a="1"/>
  <c r="I146" i="51" s="1"/>
  <c r="D82" i="59" s="1"/>
  <c r="B82" i="59" s="1"/>
  <c r="I147" i="51" a="1"/>
  <c r="I147" i="51" s="1"/>
  <c r="D83" i="59" s="1"/>
  <c r="B83" i="59" s="1"/>
  <c r="I163" i="51" a="1"/>
  <c r="I163" i="51" s="1"/>
  <c r="D99" i="59" s="1"/>
  <c r="B99" i="59" s="1"/>
  <c r="C141" i="66"/>
  <c r="C200" i="49"/>
  <c r="C430" i="65"/>
  <c r="C341" i="67"/>
  <c r="C1080" i="59"/>
  <c r="C600" i="54"/>
  <c r="C169" i="59"/>
  <c r="C924" i="59"/>
  <c r="C825" i="54"/>
  <c r="C387" i="53"/>
  <c r="C561" i="54"/>
  <c r="C1119" i="59"/>
  <c r="C302" i="67"/>
  <c r="C574" i="65"/>
  <c r="C633" i="67"/>
  <c r="C425" i="53"/>
  <c r="C1003" i="59"/>
  <c r="C963" i="59"/>
  <c r="C286" i="65"/>
  <c r="C857" i="67"/>
  <c r="C639" i="54"/>
  <c r="C1018" i="67"/>
  <c r="C1041" i="59"/>
  <c r="C521" i="54"/>
  <c r="C141" i="65"/>
  <c r="C671" i="67"/>
  <c r="C285" i="66"/>
  <c r="C463" i="53"/>
  <c r="C199" i="49"/>
  <c r="C962" i="59"/>
  <c r="C386" i="53"/>
  <c r="C424" i="53"/>
  <c r="C140" i="66"/>
  <c r="C632" i="67"/>
  <c r="C856" i="67"/>
  <c r="C285" i="65"/>
  <c r="C140" i="65"/>
  <c r="C1118" i="59"/>
  <c r="C824" i="54"/>
  <c r="C638" i="54"/>
  <c r="C520" i="54"/>
  <c r="C670" i="67"/>
  <c r="C599" i="54"/>
  <c r="C1002" i="59"/>
  <c r="C1040" i="59"/>
  <c r="C1017" i="67"/>
  <c r="C340" i="67"/>
  <c r="C168" i="59"/>
  <c r="C560" i="54"/>
  <c r="C573" i="65"/>
  <c r="C923" i="59"/>
  <c r="C301" i="67"/>
  <c r="C429" i="65"/>
  <c r="C284" i="66"/>
  <c r="C462" i="53"/>
  <c r="C1079" i="59"/>
  <c r="C159" i="59"/>
  <c r="C1008" i="67"/>
  <c r="C511" i="54"/>
  <c r="C953" i="59"/>
  <c r="C415" i="53"/>
  <c r="C551" i="54"/>
  <c r="C1031" i="59"/>
  <c r="C453" i="53"/>
  <c r="C914" i="59"/>
  <c r="C377" i="53"/>
  <c r="C331" i="67"/>
  <c r="C661" i="67"/>
  <c r="C1070" i="59"/>
  <c r="C590" i="54"/>
  <c r="C564" i="65"/>
  <c r="C629" i="54"/>
  <c r="C1109" i="59"/>
  <c r="C131" i="65"/>
  <c r="C420" i="65"/>
  <c r="C623" i="67"/>
  <c r="C292" i="67"/>
  <c r="C276" i="65"/>
  <c r="C993" i="59"/>
  <c r="C275" i="66"/>
  <c r="C190" i="49"/>
  <c r="C815" i="54"/>
  <c r="C847" i="67"/>
  <c r="C131" i="66"/>
  <c r="C827" i="54"/>
  <c r="C1005" i="59"/>
  <c r="C202" i="49"/>
  <c r="C1043" i="59"/>
  <c r="C523" i="54"/>
  <c r="C343" i="67"/>
  <c r="C563" i="54"/>
  <c r="C287" i="66"/>
  <c r="C465" i="53"/>
  <c r="C304" i="67"/>
  <c r="C673" i="67"/>
  <c r="C635" i="67"/>
  <c r="C143" i="65"/>
  <c r="C171" i="59"/>
  <c r="C432" i="65"/>
  <c r="C1020" i="67"/>
  <c r="C576" i="65"/>
  <c r="C602" i="54"/>
  <c r="C641" i="54"/>
  <c r="C427" i="53"/>
  <c r="C1082" i="59"/>
  <c r="C965" i="59"/>
  <c r="C389" i="53"/>
  <c r="C288" i="65"/>
  <c r="C859" i="67"/>
  <c r="C1121" i="59"/>
  <c r="C143" i="66"/>
  <c r="C926" i="59"/>
  <c r="I232" i="51" a="1"/>
  <c r="I232" i="51" s="1"/>
  <c r="D162" i="59" s="1"/>
  <c r="B162" i="59" s="1"/>
  <c r="I222" i="51" a="1"/>
  <c r="I222" i="51" s="1"/>
  <c r="D152" i="59" s="1"/>
  <c r="B152" i="59" s="1"/>
  <c r="I238" i="51" a="1"/>
  <c r="I238" i="51" s="1"/>
  <c r="D168" i="59" s="1"/>
  <c r="B168" i="59" s="1"/>
  <c r="I224" i="51" a="1"/>
  <c r="I224" i="51" s="1"/>
  <c r="D154" i="59" s="1"/>
  <c r="B154" i="59" s="1"/>
  <c r="I216" i="51" a="1"/>
  <c r="I216" i="51" s="1"/>
  <c r="D146" i="59" s="1"/>
  <c r="B146" i="59" s="1"/>
  <c r="I240" i="51" a="1"/>
  <c r="I240" i="51" s="1"/>
  <c r="D170" i="59" s="1"/>
  <c r="B170" i="59" s="1"/>
  <c r="I217" i="51" a="1"/>
  <c r="I217" i="51" s="1"/>
  <c r="D147" i="59" s="1"/>
  <c r="B147" i="59" s="1"/>
  <c r="I241" i="51" a="1"/>
  <c r="I241" i="51" s="1"/>
  <c r="D171" i="59" s="1"/>
  <c r="B171" i="59" s="1"/>
  <c r="I219" i="51" a="1"/>
  <c r="I219" i="51" s="1"/>
  <c r="D149" i="59" s="1"/>
  <c r="B149" i="59" s="1"/>
  <c r="I244" i="51" a="1"/>
  <c r="I244" i="51" s="1"/>
  <c r="D174" i="59" s="1"/>
  <c r="B174" i="59" s="1"/>
  <c r="I239" i="51" a="1"/>
  <c r="I239" i="51" s="1"/>
  <c r="D169" i="59" s="1"/>
  <c r="B169" i="59" s="1"/>
  <c r="I225" i="51" a="1"/>
  <c r="I225" i="51" s="1"/>
  <c r="D155" i="59" s="1"/>
  <c r="B155" i="59" s="1"/>
  <c r="I227" i="51" a="1"/>
  <c r="I227" i="51" s="1"/>
  <c r="D157" i="59" s="1"/>
  <c r="B157" i="59" s="1"/>
  <c r="I213" i="51" a="1"/>
  <c r="I213" i="51" s="1"/>
  <c r="D143" i="59" s="1"/>
  <c r="B143" i="59" s="1"/>
  <c r="I210" i="51" a="1"/>
  <c r="I210" i="51" s="1"/>
  <c r="D140" i="59" s="1"/>
  <c r="B140" i="59" s="1"/>
  <c r="I235" i="51" a="1"/>
  <c r="I235" i="51" s="1"/>
  <c r="D165" i="59" s="1"/>
  <c r="B165" i="59" s="1"/>
  <c r="I221" i="51" a="1"/>
  <c r="I221" i="51" s="1"/>
  <c r="D151" i="59" s="1"/>
  <c r="B151" i="59" s="1"/>
  <c r="I230" i="51" a="1"/>
  <c r="I230" i="51" s="1"/>
  <c r="D160" i="59" s="1"/>
  <c r="B160" i="59" s="1"/>
  <c r="I233" i="51" a="1"/>
  <c r="I233" i="51" s="1"/>
  <c r="D163" i="59" s="1"/>
  <c r="B163" i="59" s="1"/>
  <c r="I218" i="51" a="1"/>
  <c r="I218" i="51" s="1"/>
  <c r="D148" i="59" s="1"/>
  <c r="B148" i="59" s="1"/>
  <c r="I243" i="51" a="1"/>
  <c r="I243" i="51" s="1"/>
  <c r="D173" i="59" s="1"/>
  <c r="B173" i="59" s="1"/>
  <c r="I229" i="51" a="1"/>
  <c r="I229" i="51" s="1"/>
  <c r="D159" i="59" s="1"/>
  <c r="B159" i="59" s="1"/>
  <c r="I214" i="51" a="1"/>
  <c r="I214" i="51" s="1"/>
  <c r="D144" i="59" s="1"/>
  <c r="B144" i="59" s="1"/>
  <c r="I226" i="51" a="1"/>
  <c r="I226" i="51" s="1"/>
  <c r="D156" i="59" s="1"/>
  <c r="B156" i="59" s="1"/>
  <c r="I212" i="51" a="1"/>
  <c r="I212" i="51" s="1"/>
  <c r="D142" i="59" s="1"/>
  <c r="B142" i="59" s="1"/>
  <c r="I237" i="51" a="1"/>
  <c r="I237" i="51" s="1"/>
  <c r="D167" i="59" s="1"/>
  <c r="B167" i="59" s="1"/>
  <c r="I234" i="51" a="1"/>
  <c r="I234" i="51" s="1"/>
  <c r="D164" i="59" s="1"/>
  <c r="B164" i="59" s="1"/>
  <c r="I220" i="51" a="1"/>
  <c r="I220" i="51" s="1"/>
  <c r="D150" i="59" s="1"/>
  <c r="B150" i="59" s="1"/>
  <c r="I215" i="51" a="1"/>
  <c r="I215" i="51" s="1"/>
  <c r="D145" i="59" s="1"/>
  <c r="B145" i="59" s="1"/>
  <c r="I242" i="51" a="1"/>
  <c r="I242" i="51" s="1"/>
  <c r="D172" i="59" s="1"/>
  <c r="B172" i="59" s="1"/>
  <c r="I228" i="51" a="1"/>
  <c r="I228" i="51" s="1"/>
  <c r="D158" i="59" s="1"/>
  <c r="B158" i="59" s="1"/>
  <c r="I223" i="51" a="1"/>
  <c r="I223" i="51" s="1"/>
  <c r="D153" i="59" s="1"/>
  <c r="B153" i="59" s="1"/>
  <c r="I211" i="51" a="1"/>
  <c r="I211" i="51" s="1"/>
  <c r="D141" i="59" s="1"/>
  <c r="B141" i="59" s="1"/>
  <c r="I236" i="51" a="1"/>
  <c r="I236" i="51" s="1"/>
  <c r="D166" i="59" s="1"/>
  <c r="B166" i="59" s="1"/>
  <c r="I231" i="51" a="1"/>
  <c r="I231" i="51" s="1"/>
  <c r="D161" i="59" s="1"/>
  <c r="B161" i="59" s="1"/>
  <c r="C601" i="54"/>
  <c r="C1042" i="59"/>
  <c r="C287" i="65"/>
  <c r="C826" i="54"/>
  <c r="C426" i="53"/>
  <c r="C1004" i="59"/>
  <c r="C1019" i="67"/>
  <c r="C672" i="67"/>
  <c r="C342" i="67"/>
  <c r="C170" i="59"/>
  <c r="C388" i="53"/>
  <c r="C562" i="54"/>
  <c r="C303" i="67"/>
  <c r="C575" i="65"/>
  <c r="C286" i="66"/>
  <c r="C1120" i="59"/>
  <c r="C1081" i="59"/>
  <c r="C925" i="59"/>
  <c r="C640" i="54"/>
  <c r="C964" i="59"/>
  <c r="C142" i="66"/>
  <c r="C522" i="54"/>
  <c r="C464" i="53"/>
  <c r="C201" i="49"/>
  <c r="C634" i="67"/>
  <c r="C858" i="67"/>
  <c r="C431" i="65"/>
  <c r="C142" i="65"/>
  <c r="C801" i="54"/>
  <c r="C979" i="59"/>
  <c r="C994" i="67"/>
  <c r="C278" i="67"/>
  <c r="C145" i="59"/>
  <c r="C363" i="53"/>
  <c r="C401" i="53"/>
  <c r="C1095" i="59"/>
  <c r="C609" i="67"/>
  <c r="C615" i="54"/>
  <c r="C317" i="67"/>
  <c r="C117" i="65"/>
  <c r="C117" i="66"/>
  <c r="C647" i="67"/>
  <c r="C900" i="59"/>
  <c r="C262" i="65"/>
  <c r="C1017" i="59"/>
  <c r="C537" i="54"/>
  <c r="C439" i="53"/>
  <c r="C833" i="67"/>
  <c r="C261" i="66"/>
  <c r="C176" i="49"/>
  <c r="C1056" i="59"/>
  <c r="C939" i="59"/>
  <c r="C550" i="65"/>
  <c r="C497" i="54"/>
  <c r="C576" i="54"/>
  <c r="C406" i="65"/>
  <c r="C844" i="67"/>
  <c r="C658" i="67"/>
  <c r="C156" i="59"/>
  <c r="C273" i="65"/>
  <c r="C187" i="49"/>
  <c r="C374" i="53"/>
  <c r="C128" i="66"/>
  <c r="C587" i="54"/>
  <c r="C812" i="54"/>
  <c r="C911" i="59"/>
  <c r="C1028" i="59"/>
  <c r="C950" i="59"/>
  <c r="C289" i="67"/>
  <c r="C1005" i="67"/>
  <c r="C626" i="54"/>
  <c r="C450" i="53"/>
  <c r="C412" i="53"/>
  <c r="C272" i="66"/>
  <c r="C1106" i="59"/>
  <c r="C620" i="67"/>
  <c r="C417" i="65"/>
  <c r="C548" i="54"/>
  <c r="C561" i="65"/>
  <c r="C990" i="59"/>
  <c r="C128" i="65"/>
  <c r="C508" i="54"/>
  <c r="C328" i="67"/>
  <c r="C1067" i="59"/>
  <c r="C435" i="65"/>
  <c r="C579" i="65"/>
  <c r="C146" i="65"/>
  <c r="C468" i="53"/>
  <c r="C307" i="67"/>
  <c r="C1023" i="67"/>
  <c r="C291" i="65"/>
  <c r="C566" i="54"/>
  <c r="C1008" i="59"/>
  <c r="C862" i="67"/>
  <c r="C290" i="66"/>
  <c r="C146" i="66"/>
  <c r="C1046" i="59"/>
  <c r="C830" i="54"/>
  <c r="C1085" i="59"/>
  <c r="C392" i="53"/>
  <c r="C526" i="54"/>
  <c r="C676" i="67"/>
  <c r="C205" i="49"/>
  <c r="C644" i="54"/>
  <c r="C346" i="67"/>
  <c r="C968" i="59"/>
  <c r="C174" i="59"/>
  <c r="C638" i="67"/>
  <c r="C929" i="59"/>
  <c r="C605" i="54"/>
  <c r="C1124" i="59"/>
  <c r="C430" i="53"/>
  <c r="I97" i="51" a="1"/>
  <c r="I97" i="51" s="1"/>
  <c r="D36" i="59" s="1"/>
  <c r="B36" i="59" s="1"/>
  <c r="I96" i="51" a="1"/>
  <c r="I96" i="51" s="1"/>
  <c r="D35" i="59" s="1"/>
  <c r="B35" i="59" s="1"/>
  <c r="I117" i="51" a="1"/>
  <c r="I117" i="51" s="1"/>
  <c r="D56" i="59" s="1"/>
  <c r="B56" i="59" s="1"/>
  <c r="I103" i="51" a="1"/>
  <c r="I103" i="51" s="1"/>
  <c r="D42" i="59" s="1"/>
  <c r="B42" i="59" s="1"/>
  <c r="I125" i="51" a="1"/>
  <c r="I125" i="51" s="1"/>
  <c r="D64" i="59" s="1"/>
  <c r="B64" i="59" s="1"/>
  <c r="I111" i="51" a="1"/>
  <c r="I111" i="51" s="1"/>
  <c r="D50" i="59" s="1"/>
  <c r="B50" i="59" s="1"/>
  <c r="I112" i="51" a="1"/>
  <c r="I112" i="51" s="1"/>
  <c r="D51" i="59" s="1"/>
  <c r="B51" i="59" s="1"/>
  <c r="I94" i="51" a="1"/>
  <c r="I94" i="51" s="1"/>
  <c r="D33" i="59" s="1"/>
  <c r="B33" i="59" s="1"/>
  <c r="I119" i="51" a="1"/>
  <c r="I119" i="51" s="1"/>
  <c r="D58" i="59" s="1"/>
  <c r="B58" i="59" s="1"/>
  <c r="I123" i="51" a="1"/>
  <c r="I123" i="51" s="1"/>
  <c r="D62" i="59" s="1"/>
  <c r="B62" i="59" s="1"/>
  <c r="I124" i="51" a="1"/>
  <c r="I124" i="51" s="1"/>
  <c r="D63" i="59" s="1"/>
  <c r="B63" i="59" s="1"/>
  <c r="I102" i="51" a="1"/>
  <c r="I102" i="51" s="1"/>
  <c r="D41" i="59" s="1"/>
  <c r="B41" i="59" s="1"/>
  <c r="I127" i="51" a="1"/>
  <c r="I127" i="51" s="1"/>
  <c r="D66" i="59" s="1"/>
  <c r="B66" i="59" s="1"/>
  <c r="I107" i="51" a="1"/>
  <c r="I107" i="51" s="1"/>
  <c r="D46" i="59" s="1"/>
  <c r="B46" i="59" s="1"/>
  <c r="I110" i="51" a="1"/>
  <c r="I110" i="51" s="1"/>
  <c r="D49" i="59" s="1"/>
  <c r="B49" i="59" s="1"/>
  <c r="I98" i="51" a="1"/>
  <c r="I98" i="51" s="1"/>
  <c r="D37" i="59" s="1"/>
  <c r="B37" i="59" s="1"/>
  <c r="I93" i="51" a="1"/>
  <c r="I93" i="51" s="1"/>
  <c r="D32" i="59" s="1"/>
  <c r="B32" i="59" s="1"/>
  <c r="I118" i="51" a="1"/>
  <c r="I118" i="51" s="1"/>
  <c r="D57" i="59" s="1"/>
  <c r="B57" i="59" s="1"/>
  <c r="I106" i="51" a="1"/>
  <c r="I106" i="51" s="1"/>
  <c r="D45" i="59" s="1"/>
  <c r="B45" i="59" s="1"/>
  <c r="I113" i="51" a="1"/>
  <c r="I113" i="51" s="1"/>
  <c r="D52" i="59" s="1"/>
  <c r="B52" i="59" s="1"/>
  <c r="I101" i="51" a="1"/>
  <c r="I101" i="51" s="1"/>
  <c r="D40" i="59" s="1"/>
  <c r="B40" i="59" s="1"/>
  <c r="I126" i="51" a="1"/>
  <c r="I126" i="51" s="1"/>
  <c r="D65" i="59" s="1"/>
  <c r="B65" i="59" s="1"/>
  <c r="I114" i="51" a="1"/>
  <c r="I114" i="51" s="1"/>
  <c r="D53" i="59" s="1"/>
  <c r="B53" i="59" s="1"/>
  <c r="I108" i="51" a="1"/>
  <c r="I108" i="51" s="1"/>
  <c r="D47" i="59" s="1"/>
  <c r="B47" i="59" s="1"/>
  <c r="I109" i="51" a="1"/>
  <c r="I109" i="51" s="1"/>
  <c r="D48" i="59" s="1"/>
  <c r="B48" i="59" s="1"/>
  <c r="I95" i="51" a="1"/>
  <c r="I95" i="51" s="1"/>
  <c r="D34" i="59" s="1"/>
  <c r="B34" i="59" s="1"/>
  <c r="I122" i="51" a="1"/>
  <c r="I122" i="51" s="1"/>
  <c r="D61" i="59" s="1"/>
  <c r="B61" i="59" s="1"/>
  <c r="I121" i="51" a="1"/>
  <c r="I121" i="51" s="1"/>
  <c r="D60" i="59" s="1"/>
  <c r="B60" i="59" s="1"/>
  <c r="I104" i="51" a="1"/>
  <c r="I104" i="51" s="1"/>
  <c r="D43" i="59" s="1"/>
  <c r="B43" i="59" s="1"/>
  <c r="I99" i="51" a="1"/>
  <c r="I99" i="51" s="1"/>
  <c r="D38" i="59" s="1"/>
  <c r="B38" i="59" s="1"/>
  <c r="I105" i="51" a="1"/>
  <c r="I105" i="51" s="1"/>
  <c r="D44" i="59" s="1"/>
  <c r="B44" i="59" s="1"/>
  <c r="I116" i="51" a="1"/>
  <c r="I116" i="51" s="1"/>
  <c r="D55" i="59" s="1"/>
  <c r="B55" i="59" s="1"/>
  <c r="I100" i="51" a="1"/>
  <c r="I100" i="51" s="1"/>
  <c r="D39" i="59" s="1"/>
  <c r="B39" i="59" s="1"/>
  <c r="I120" i="51" a="1"/>
  <c r="I120" i="51" s="1"/>
  <c r="D59" i="59" s="1"/>
  <c r="B59" i="59" s="1"/>
  <c r="I115" i="51" a="1"/>
  <c r="I115" i="51" s="1"/>
  <c r="D54" i="59" s="1"/>
  <c r="B54" i="59" s="1"/>
  <c r="C325" i="67"/>
  <c r="C1002" i="67"/>
  <c r="C184" i="49"/>
  <c r="C269" i="66"/>
  <c r="C286" i="67"/>
  <c r="C947" i="59"/>
  <c r="C584" i="54"/>
  <c r="C125" i="66"/>
  <c r="C153" i="59"/>
  <c r="C987" i="59"/>
  <c r="C1025" i="59"/>
  <c r="C1103" i="59"/>
  <c r="C558" i="65"/>
  <c r="C125" i="65"/>
  <c r="C545" i="54"/>
  <c r="C623" i="54"/>
  <c r="C809" i="54"/>
  <c r="C505" i="54"/>
  <c r="C270" i="65"/>
  <c r="C414" i="65"/>
  <c r="C617" i="67"/>
  <c r="C371" i="53"/>
  <c r="C655" i="67"/>
  <c r="C841" i="67"/>
  <c r="C447" i="53"/>
  <c r="C908" i="59"/>
  <c r="C409" i="53"/>
  <c r="C1064" i="59"/>
  <c r="C557" i="54"/>
  <c r="C282" i="65"/>
  <c r="C298" i="67"/>
  <c r="C1076" i="59"/>
  <c r="C383" i="53"/>
  <c r="C517" i="54"/>
  <c r="C459" i="53"/>
  <c r="C337" i="67"/>
  <c r="C1014" i="67"/>
  <c r="C137" i="65"/>
  <c r="C635" i="54"/>
  <c r="C596" i="54"/>
  <c r="C999" i="59"/>
  <c r="C667" i="67"/>
  <c r="C165" i="59"/>
  <c r="C1115" i="59"/>
  <c r="C570" i="65"/>
  <c r="C853" i="67"/>
  <c r="C629" i="67"/>
  <c r="C821" i="54"/>
  <c r="C1037" i="59"/>
  <c r="C920" i="59"/>
  <c r="C421" i="53"/>
  <c r="C959" i="59"/>
  <c r="C281" i="66"/>
  <c r="C137" i="66"/>
  <c r="C426" i="65"/>
  <c r="C196" i="49"/>
  <c r="C610" i="67"/>
  <c r="C364" i="53"/>
  <c r="C263" i="65"/>
  <c r="C616" i="54"/>
  <c r="C118" i="66"/>
  <c r="C538" i="54"/>
  <c r="C980" i="59"/>
  <c r="C901" i="59"/>
  <c r="C177" i="49"/>
  <c r="C940" i="59"/>
  <c r="C648" i="67"/>
  <c r="C402" i="53"/>
  <c r="C577" i="54"/>
  <c r="C1096" i="59"/>
  <c r="C551" i="65"/>
  <c r="C1018" i="59"/>
  <c r="C407" i="65"/>
  <c r="C834" i="67"/>
  <c r="C498" i="54"/>
  <c r="C279" i="67"/>
  <c r="C1057" i="59"/>
  <c r="C802" i="54"/>
  <c r="C440" i="53"/>
  <c r="C995" i="67"/>
  <c r="C262" i="66"/>
  <c r="C146" i="59"/>
  <c r="C318" i="67"/>
  <c r="C118" i="65"/>
  <c r="C937" i="59"/>
  <c r="C535" i="54"/>
  <c r="C799" i="54"/>
  <c r="C115" i="66"/>
  <c r="C361" i="53"/>
  <c r="C260" i="65"/>
  <c r="C898" i="59"/>
  <c r="C399" i="53"/>
  <c r="C259" i="66"/>
  <c r="C276" i="67"/>
  <c r="C1015" i="59"/>
  <c r="C174" i="49"/>
  <c r="C977" i="59"/>
  <c r="C645" i="67"/>
  <c r="C1093" i="59"/>
  <c r="C315" i="67"/>
  <c r="C607" i="67"/>
  <c r="C495" i="54"/>
  <c r="C143" i="59"/>
  <c r="C992" i="67"/>
  <c r="C404" i="65"/>
  <c r="C613" i="54"/>
  <c r="C574" i="54"/>
  <c r="C115" i="65"/>
  <c r="C437" i="53"/>
  <c r="C1054" i="59"/>
  <c r="C548" i="65"/>
  <c r="C831" i="67"/>
  <c r="C258" i="66"/>
  <c r="C114" i="65"/>
  <c r="C991" i="67"/>
  <c r="C547" i="65"/>
  <c r="C606" i="67"/>
  <c r="C1014" i="59"/>
  <c r="C644" i="67"/>
  <c r="C494" i="54"/>
  <c r="C173" i="49"/>
  <c r="C314" i="67"/>
  <c r="C534" i="54"/>
  <c r="C897" i="59"/>
  <c r="C976" i="59"/>
  <c r="C259" i="65"/>
  <c r="C398" i="53"/>
  <c r="C436" i="53"/>
  <c r="C573" i="54"/>
  <c r="C275" i="67"/>
  <c r="C114" i="66"/>
  <c r="C1092" i="59"/>
  <c r="C360" i="53"/>
  <c r="C1053" i="59"/>
  <c r="C142" i="59"/>
  <c r="C403" i="65"/>
  <c r="C936" i="59"/>
  <c r="C612" i="54"/>
  <c r="C830" i="67"/>
  <c r="C798" i="54"/>
  <c r="C585" i="54"/>
  <c r="C1065" i="59"/>
  <c r="C618" i="67"/>
  <c r="C909" i="59"/>
  <c r="C656" i="67"/>
  <c r="C271" i="65"/>
  <c r="C415" i="65"/>
  <c r="C410" i="53"/>
  <c r="C624" i="54"/>
  <c r="C1104" i="59"/>
  <c r="C559" i="65"/>
  <c r="C1003" i="67"/>
  <c r="C546" i="54"/>
  <c r="C1026" i="59"/>
  <c r="C810" i="54"/>
  <c r="C154" i="59"/>
  <c r="C270" i="66"/>
  <c r="C326" i="67"/>
  <c r="C988" i="59"/>
  <c r="C185" i="49"/>
  <c r="C448" i="53"/>
  <c r="C372" i="53"/>
  <c r="C287" i="67"/>
  <c r="C126" i="66"/>
  <c r="C126" i="65"/>
  <c r="C506" i="54"/>
  <c r="C842" i="67"/>
  <c r="C948" i="59"/>
  <c r="C637" i="67"/>
  <c r="C1123" i="59"/>
  <c r="C1084" i="59"/>
  <c r="C391" i="53"/>
  <c r="C434" i="65"/>
  <c r="C1022" i="67"/>
  <c r="C345" i="67"/>
  <c r="C861" i="67"/>
  <c r="C429" i="53"/>
  <c r="C928" i="59"/>
  <c r="C967" i="59"/>
  <c r="C145" i="66"/>
  <c r="C145" i="65"/>
  <c r="C1045" i="59"/>
  <c r="C173" i="59"/>
  <c r="C675" i="67"/>
  <c r="C467" i="53"/>
  <c r="C525" i="54"/>
  <c r="C604" i="54"/>
  <c r="C204" i="49"/>
  <c r="C290" i="65"/>
  <c r="C565" i="54"/>
  <c r="C829" i="54"/>
  <c r="C578" i="65"/>
  <c r="C643" i="54"/>
  <c r="C289" i="66"/>
  <c r="C1007" i="59"/>
  <c r="C306" i="67"/>
  <c r="C605" i="67"/>
  <c r="C435" i="53"/>
  <c r="C990" i="67"/>
  <c r="C274" i="67"/>
  <c r="C397" i="53"/>
  <c r="C493" i="54"/>
  <c r="C572" i="54"/>
  <c r="C113" i="66"/>
  <c r="C611" i="54"/>
  <c r="C829" i="67"/>
  <c r="C1091" i="59"/>
  <c r="C257" i="66"/>
  <c r="C1052" i="59"/>
  <c r="C113" i="65"/>
  <c r="C172" i="49"/>
  <c r="C1013" i="59"/>
  <c r="C359" i="53"/>
  <c r="C896" i="59"/>
  <c r="C975" i="59"/>
  <c r="C935" i="59"/>
  <c r="C533" i="54"/>
  <c r="C141" i="59"/>
  <c r="C313" i="67"/>
  <c r="C258" i="65"/>
  <c r="C546" i="65"/>
  <c r="C643" i="67"/>
  <c r="C797" i="54"/>
  <c r="C402" i="65"/>
  <c r="C344" i="67"/>
  <c r="C1021" i="67"/>
  <c r="C966" i="59"/>
  <c r="C674" i="67"/>
  <c r="C927" i="59"/>
  <c r="C524" i="54"/>
  <c r="C636" i="67"/>
  <c r="C390" i="53"/>
  <c r="C603" i="54"/>
  <c r="C577" i="65"/>
  <c r="C289" i="65"/>
  <c r="C1044" i="59"/>
  <c r="C172" i="59"/>
  <c r="C144" i="66"/>
  <c r="C642" i="54"/>
  <c r="C564" i="54"/>
  <c r="C428" i="53"/>
  <c r="C828" i="54"/>
  <c r="C1122" i="59"/>
  <c r="C288" i="66"/>
  <c r="C144" i="65"/>
  <c r="C466" i="53"/>
  <c r="C1083" i="59"/>
  <c r="C860" i="67"/>
  <c r="C305" i="67"/>
  <c r="C203" i="49"/>
  <c r="C433" i="65"/>
  <c r="C1006" i="59"/>
  <c r="C194" i="49"/>
  <c r="C997" i="59"/>
  <c r="C819" i="54"/>
  <c r="C1012" i="67"/>
  <c r="C957" i="59"/>
  <c r="C296" i="67"/>
  <c r="C627" i="67"/>
  <c r="C1035" i="59"/>
  <c r="C1074" i="59"/>
  <c r="C568" i="65"/>
  <c r="C424" i="65"/>
  <c r="C918" i="59"/>
  <c r="C457" i="53"/>
  <c r="C381" i="53"/>
  <c r="C419" i="53"/>
  <c r="C135" i="65"/>
  <c r="C280" i="65"/>
  <c r="C279" i="66"/>
  <c r="C665" i="67"/>
  <c r="C515" i="54"/>
  <c r="C163" i="59"/>
  <c r="C335" i="67"/>
  <c r="C633" i="54"/>
  <c r="C555" i="54"/>
  <c r="C135" i="66"/>
  <c r="C1113" i="59"/>
  <c r="C594" i="54"/>
  <c r="C851" i="67"/>
  <c r="C149" i="59"/>
  <c r="C501" i="54"/>
  <c r="C410" i="65"/>
  <c r="C1060" i="59"/>
  <c r="C282" i="67"/>
  <c r="C541" i="54"/>
  <c r="C321" i="67"/>
  <c r="C405" i="53"/>
  <c r="C580" i="54"/>
  <c r="C367" i="53"/>
  <c r="C121" i="66"/>
  <c r="C619" i="54"/>
  <c r="C265" i="66"/>
  <c r="C266" i="65"/>
  <c r="C1021" i="59"/>
  <c r="C904" i="59"/>
  <c r="C180" i="49"/>
  <c r="C998" i="67"/>
  <c r="C554" i="65"/>
  <c r="C443" i="53"/>
  <c r="C651" i="67"/>
  <c r="C613" i="67"/>
  <c r="C1099" i="59"/>
  <c r="C837" i="67"/>
  <c r="C121" i="65"/>
  <c r="C805" i="54"/>
  <c r="C943" i="59"/>
  <c r="C983" i="59"/>
  <c r="C986" i="59"/>
  <c r="C504" i="54"/>
  <c r="C1001" i="67"/>
  <c r="C1102" i="59"/>
  <c r="C124" i="66"/>
  <c r="C557" i="65"/>
  <c r="C408" i="53"/>
  <c r="C946" i="59"/>
  <c r="C1024" i="59"/>
  <c r="C544" i="54"/>
  <c r="C152" i="59"/>
  <c r="C269" i="65"/>
  <c r="C285" i="67"/>
  <c r="C183" i="49"/>
  <c r="C324" i="67"/>
  <c r="C654" i="67"/>
  <c r="C1063" i="59"/>
  <c r="C616" i="67"/>
  <c r="C446" i="53"/>
  <c r="C370" i="53"/>
  <c r="C622" i="54"/>
  <c r="C413" i="65"/>
  <c r="C907" i="59"/>
  <c r="C840" i="67"/>
  <c r="C268" i="66"/>
  <c r="C124" i="65"/>
  <c r="C583" i="54"/>
  <c r="C808" i="54"/>
  <c r="C320" i="67"/>
  <c r="C540" i="54"/>
  <c r="C836" i="67"/>
  <c r="C579" i="54"/>
  <c r="C553" i="65"/>
  <c r="C120" i="66"/>
  <c r="C650" i="67"/>
  <c r="C148" i="59"/>
  <c r="C982" i="59"/>
  <c r="C442" i="53"/>
  <c r="C618" i="54"/>
  <c r="C804" i="54"/>
  <c r="C500" i="54"/>
  <c r="C997" i="67"/>
  <c r="C281" i="67"/>
  <c r="C179" i="49"/>
  <c r="C612" i="67"/>
  <c r="C265" i="65"/>
  <c r="C120" i="65"/>
  <c r="C1020" i="59"/>
  <c r="C903" i="59"/>
  <c r="C404" i="53"/>
  <c r="C942" i="59"/>
  <c r="C264" i="66"/>
  <c r="C1098" i="59"/>
  <c r="C409" i="65"/>
  <c r="C366" i="53"/>
  <c r="C1059" i="59"/>
  <c r="C195" i="49"/>
  <c r="C281" i="65"/>
  <c r="C595" i="54"/>
  <c r="C420" i="53"/>
  <c r="C998" i="59"/>
  <c r="C852" i="67"/>
  <c r="C280" i="66"/>
  <c r="C1075" i="59"/>
  <c r="C1036" i="59"/>
  <c r="C336" i="67"/>
  <c r="C1114" i="59"/>
  <c r="C556" i="54"/>
  <c r="C164" i="59"/>
  <c r="C569" i="65"/>
  <c r="C919" i="59"/>
  <c r="C634" i="54"/>
  <c r="C958" i="59"/>
  <c r="C425" i="65"/>
  <c r="C136" i="66"/>
  <c r="C666" i="67"/>
  <c r="C1013" i="67"/>
  <c r="C297" i="67"/>
  <c r="C136" i="65"/>
  <c r="C628" i="67"/>
  <c r="C458" i="53"/>
  <c r="C382" i="53"/>
  <c r="C516" i="54"/>
  <c r="C820" i="54"/>
  <c r="C899" i="59"/>
  <c r="C549" i="65"/>
  <c r="C116" i="65"/>
  <c r="C1094" i="59"/>
  <c r="C993" i="67"/>
  <c r="C978" i="59"/>
  <c r="C362" i="53"/>
  <c r="C316" i="67"/>
  <c r="C832" i="67"/>
  <c r="C116" i="66"/>
  <c r="C938" i="59"/>
  <c r="C144" i="59"/>
  <c r="C1055" i="59"/>
  <c r="C400" i="53"/>
  <c r="C277" i="67"/>
  <c r="C536" i="54"/>
  <c r="C496" i="54"/>
  <c r="C800" i="54"/>
  <c r="C1016" i="59"/>
  <c r="C260" i="66"/>
  <c r="C405" i="65"/>
  <c r="C575" i="54"/>
  <c r="C608" i="67"/>
  <c r="C261" i="65"/>
  <c r="C438" i="53"/>
  <c r="C175" i="49"/>
  <c r="C646" i="67"/>
  <c r="C614" i="54"/>
  <c r="C817" i="54"/>
  <c r="C133" i="65"/>
  <c r="C333" i="67"/>
  <c r="C663" i="67"/>
  <c r="C417" i="53"/>
  <c r="C294" i="67"/>
  <c r="C916" i="59"/>
  <c r="C278" i="65"/>
  <c r="C1033" i="59"/>
  <c r="C513" i="54"/>
  <c r="C1072" i="59"/>
  <c r="C277" i="66"/>
  <c r="C955" i="59"/>
  <c r="C625" i="67"/>
  <c r="C1010" i="67"/>
  <c r="C192" i="49"/>
  <c r="C592" i="54"/>
  <c r="C133" i="66"/>
  <c r="C849" i="67"/>
  <c r="C422" i="65"/>
  <c r="C455" i="53"/>
  <c r="C631" i="54"/>
  <c r="C161" i="59"/>
  <c r="C566" i="65"/>
  <c r="C995" i="59"/>
  <c r="C379" i="53"/>
  <c r="C1111" i="59"/>
  <c r="C553" i="54"/>
  <c r="C449" i="53"/>
  <c r="C586" i="54"/>
  <c r="C811" i="54"/>
  <c r="C127" i="66"/>
  <c r="C910" i="59"/>
  <c r="C625" i="54"/>
  <c r="C411" i="53"/>
  <c r="C949" i="59"/>
  <c r="C507" i="54"/>
  <c r="C657" i="67"/>
  <c r="C186" i="49"/>
  <c r="C155" i="59"/>
  <c r="C272" i="65"/>
  <c r="C619" i="67"/>
  <c r="C1066" i="59"/>
  <c r="C1105" i="59"/>
  <c r="C327" i="67"/>
  <c r="C989" i="59"/>
  <c r="C288" i="67"/>
  <c r="C416" i="65"/>
  <c r="C560" i="65"/>
  <c r="C127" i="65"/>
  <c r="C843" i="67"/>
  <c r="C547" i="54"/>
  <c r="C271" i="66"/>
  <c r="C1004" i="67"/>
  <c r="C1027" i="59"/>
  <c r="C373" i="53"/>
  <c r="C1016" i="67"/>
  <c r="C631" i="67"/>
  <c r="C198" i="49"/>
  <c r="C961" i="59"/>
  <c r="C284" i="65"/>
  <c r="C428" i="65"/>
  <c r="C1078" i="59"/>
  <c r="C669" i="67"/>
  <c r="C1039" i="59"/>
  <c r="C572" i="65"/>
  <c r="C559" i="54"/>
  <c r="C1001" i="59"/>
  <c r="C139" i="66"/>
  <c r="C423" i="53"/>
  <c r="C461" i="53"/>
  <c r="C283" i="66"/>
  <c r="C300" i="67"/>
  <c r="C855" i="67"/>
  <c r="C139" i="65"/>
  <c r="C385" i="53"/>
  <c r="C823" i="54"/>
  <c r="C637" i="54"/>
  <c r="C339" i="67"/>
  <c r="C1117" i="59"/>
  <c r="C922" i="59"/>
  <c r="C167" i="59"/>
  <c r="C598" i="54"/>
  <c r="C519" i="54"/>
  <c r="C123" i="65"/>
  <c r="C407" i="53"/>
  <c r="C1101" i="59"/>
  <c r="C621" i="54"/>
  <c r="C182" i="49"/>
  <c r="C369" i="53"/>
  <c r="C151" i="59"/>
  <c r="C1000" i="67"/>
  <c r="C582" i="54"/>
  <c r="C284" i="67"/>
  <c r="C615" i="67"/>
  <c r="C268" i="65"/>
  <c r="C503" i="54"/>
  <c r="C985" i="59"/>
  <c r="C556" i="65"/>
  <c r="C653" i="67"/>
  <c r="C1062" i="59"/>
  <c r="C267" i="66"/>
  <c r="C412" i="65"/>
  <c r="C445" i="53"/>
  <c r="C807" i="54"/>
  <c r="C323" i="67"/>
  <c r="C906" i="59"/>
  <c r="C543" i="54"/>
  <c r="C945" i="59"/>
  <c r="C123" i="66"/>
  <c r="C839" i="67"/>
  <c r="C1023" i="59"/>
  <c r="C567" i="65"/>
  <c r="C193" i="49"/>
  <c r="C295" i="67"/>
  <c r="C134" i="66"/>
  <c r="C456" i="53"/>
  <c r="C418" i="53"/>
  <c r="C626" i="67"/>
  <c r="C632" i="54"/>
  <c r="C514" i="54"/>
  <c r="C818" i="54"/>
  <c r="C1034" i="59"/>
  <c r="C1112" i="59"/>
  <c r="C380" i="53"/>
  <c r="C1073" i="59"/>
  <c r="C664" i="67"/>
  <c r="C334" i="67"/>
  <c r="C917" i="59"/>
  <c r="C279" i="65"/>
  <c r="C850" i="67"/>
  <c r="C593" i="54"/>
  <c r="C1011" i="67"/>
  <c r="C554" i="54"/>
  <c r="C423" i="65"/>
  <c r="C278" i="66"/>
  <c r="C134" i="65"/>
  <c r="C956" i="59"/>
  <c r="C996" i="59"/>
  <c r="C162" i="59"/>
  <c r="C263" i="66"/>
  <c r="C1058" i="59"/>
  <c r="C119" i="65"/>
  <c r="C611" i="67"/>
  <c r="C408" i="65"/>
  <c r="C941" i="59"/>
  <c r="C119" i="66"/>
  <c r="C996" i="67"/>
  <c r="C178" i="49"/>
  <c r="C1097" i="59"/>
  <c r="C552" i="65"/>
  <c r="C1019" i="59"/>
  <c r="C803" i="54"/>
  <c r="C499" i="54"/>
  <c r="C649" i="67"/>
  <c r="C403" i="53"/>
  <c r="C147" i="59"/>
  <c r="C441" i="53"/>
  <c r="C319" i="67"/>
  <c r="C902" i="59"/>
  <c r="C280" i="67"/>
  <c r="C835" i="67"/>
  <c r="C617" i="54"/>
  <c r="C981" i="59"/>
  <c r="C539" i="54"/>
  <c r="C365" i="53"/>
  <c r="C264" i="65"/>
  <c r="C578" i="54"/>
  <c r="C854" i="67"/>
  <c r="C571" i="65"/>
  <c r="C921" i="59"/>
  <c r="C636" i="54"/>
  <c r="C1000" i="59"/>
  <c r="C630" i="67"/>
  <c r="C1038" i="59"/>
  <c r="C197" i="49"/>
  <c r="C668" i="67"/>
  <c r="C166" i="59"/>
  <c r="C1077" i="59"/>
  <c r="C283" i="65"/>
  <c r="C282" i="66"/>
  <c r="C1116" i="59"/>
  <c r="C597" i="54"/>
  <c r="C338" i="67"/>
  <c r="C518" i="54"/>
  <c r="C299" i="67"/>
  <c r="C460" i="53"/>
  <c r="C384" i="53"/>
  <c r="C427" i="65"/>
  <c r="C822" i="54"/>
  <c r="C138" i="66"/>
  <c r="C1015" i="67"/>
  <c r="C558" i="54"/>
  <c r="C960" i="59"/>
  <c r="C138" i="65"/>
  <c r="C422" i="53"/>
  <c r="C275" i="65"/>
  <c r="C622" i="67"/>
  <c r="C1007" i="67"/>
  <c r="C510" i="54"/>
  <c r="C1069" i="59"/>
  <c r="C291" i="67"/>
  <c r="C414" i="53"/>
  <c r="C419" i="65"/>
  <c r="C846" i="67"/>
  <c r="C158" i="59"/>
  <c r="C274" i="66"/>
  <c r="C376" i="53"/>
  <c r="C130" i="66"/>
  <c r="C589" i="54"/>
  <c r="C952" i="59"/>
  <c r="C563" i="65"/>
  <c r="C913" i="59"/>
  <c r="C1108" i="59"/>
  <c r="C992" i="59"/>
  <c r="C330" i="67"/>
  <c r="C550" i="54"/>
  <c r="C628" i="54"/>
  <c r="C660" i="67"/>
  <c r="C452" i="53"/>
  <c r="C1030" i="59"/>
  <c r="C130" i="65"/>
  <c r="C814" i="54"/>
  <c r="C189" i="49"/>
  <c r="C991" i="59"/>
  <c r="C845" i="67"/>
  <c r="C274" i="65"/>
  <c r="C413" i="53"/>
  <c r="C588" i="54"/>
  <c r="C1107" i="59"/>
  <c r="C129" i="66"/>
  <c r="C290" i="67"/>
  <c r="C329" i="67"/>
  <c r="C627" i="54"/>
  <c r="C273" i="66"/>
  <c r="C1029" i="59"/>
  <c r="C451" i="53"/>
  <c r="C813" i="54"/>
  <c r="C509" i="54"/>
  <c r="C129" i="65"/>
  <c r="C1006" i="67"/>
  <c r="C912" i="59"/>
  <c r="C951" i="59"/>
  <c r="C621" i="67"/>
  <c r="C418" i="65"/>
  <c r="C375" i="53"/>
  <c r="C659" i="67"/>
  <c r="C1068" i="59"/>
  <c r="C562" i="65"/>
  <c r="C188" i="49"/>
  <c r="C549" i="54"/>
  <c r="C157" i="59"/>
  <c r="C552" i="54"/>
  <c r="C454" i="53"/>
  <c r="C132" i="66"/>
  <c r="C160" i="59"/>
  <c r="C816" i="54"/>
  <c r="C293" i="67"/>
  <c r="C954" i="59"/>
  <c r="C994" i="59"/>
  <c r="C1110" i="59"/>
  <c r="C378" i="53"/>
  <c r="C512" i="54"/>
  <c r="C1009" i="67"/>
  <c r="C277" i="65"/>
  <c r="C662" i="67"/>
  <c r="C630" i="54"/>
  <c r="C132" i="65"/>
  <c r="C332" i="67"/>
  <c r="C276" i="66"/>
  <c r="C565" i="65"/>
  <c r="C624" i="67"/>
  <c r="C591" i="54"/>
  <c r="C1032" i="59"/>
  <c r="C1071" i="59"/>
  <c r="C915" i="59"/>
  <c r="C416" i="53"/>
  <c r="C191" i="49"/>
  <c r="C848" i="67"/>
  <c r="C421" i="65"/>
  <c r="C396" i="53"/>
  <c r="C112" i="66"/>
  <c r="C273" i="67"/>
  <c r="C1090" i="59"/>
  <c r="C358" i="53"/>
  <c r="C171" i="49"/>
  <c r="C989" i="67"/>
  <c r="C604" i="67"/>
  <c r="C112" i="65"/>
  <c r="C796" i="54"/>
  <c r="C1051" i="59"/>
  <c r="C492" i="54"/>
  <c r="C140" i="59"/>
  <c r="C532" i="54"/>
  <c r="C642" i="67"/>
  <c r="C401" i="65"/>
  <c r="C545" i="65"/>
  <c r="C257" i="65"/>
  <c r="C571" i="54"/>
  <c r="C610" i="54"/>
  <c r="C974" i="59"/>
  <c r="C312" i="67"/>
  <c r="C1012" i="59"/>
  <c r="C934" i="59"/>
  <c r="C895" i="59"/>
  <c r="C828" i="67"/>
  <c r="C434" i="53"/>
  <c r="C256" i="66"/>
  <c r="C555" i="65"/>
  <c r="C444" i="53"/>
  <c r="C502" i="54"/>
  <c r="C283" i="67"/>
  <c r="C1100" i="59"/>
  <c r="C905" i="59"/>
  <c r="C1061" i="59"/>
  <c r="C267" i="65"/>
  <c r="C614" i="67"/>
  <c r="C838" i="67"/>
  <c r="C1022" i="59"/>
  <c r="C181" i="49"/>
  <c r="C652" i="67"/>
  <c r="C806" i="54"/>
  <c r="C944" i="59"/>
  <c r="C122" i="66"/>
  <c r="C368" i="53"/>
  <c r="C620" i="54"/>
  <c r="C542" i="54"/>
  <c r="C266" i="66"/>
  <c r="C999" i="67"/>
  <c r="C406" i="53"/>
  <c r="C581" i="54"/>
  <c r="C411" i="65"/>
  <c r="C122" i="65"/>
  <c r="C322" i="67"/>
  <c r="C150" i="59"/>
  <c r="C984" i="59"/>
  <c r="L1066" i="59" l="1"/>
  <c r="L1079" i="59"/>
  <c r="L358" i="59"/>
  <c r="L604" i="59"/>
  <c r="L590" i="59"/>
  <c r="L822" i="59"/>
  <c r="L600" i="59"/>
  <c r="L819" i="59"/>
  <c r="L818" i="59"/>
  <c r="L823" i="59"/>
  <c r="L580" i="59"/>
  <c r="L598" i="59"/>
  <c r="L1059" i="59"/>
  <c r="L589" i="59"/>
  <c r="L605" i="59"/>
  <c r="L1065" i="59"/>
  <c r="L342" i="59"/>
  <c r="L350" i="59"/>
  <c r="L601" i="59"/>
  <c r="L576" i="59"/>
  <c r="L356" i="59"/>
  <c r="L842" i="59"/>
  <c r="L820" i="59"/>
  <c r="L1073" i="59"/>
  <c r="L599" i="59"/>
  <c r="L591" i="59"/>
  <c r="L361" i="59"/>
  <c r="L1082" i="59"/>
  <c r="L365" i="59"/>
  <c r="L834" i="59"/>
  <c r="L603" i="59"/>
  <c r="L835" i="59"/>
  <c r="L588" i="59"/>
  <c r="L362" i="59"/>
  <c r="L837" i="59"/>
  <c r="L830" i="59"/>
  <c r="L579" i="59"/>
  <c r="L827" i="59"/>
  <c r="L829" i="59"/>
  <c r="L592" i="59"/>
  <c r="L815" i="59"/>
  <c r="L1085" i="59"/>
  <c r="L353" i="59"/>
  <c r="L1051" i="59"/>
  <c r="L368" i="59"/>
  <c r="L813" i="59"/>
  <c r="L838" i="59"/>
  <c r="L602" i="59"/>
  <c r="L367" i="59"/>
  <c r="L833" i="59"/>
  <c r="L1077" i="59"/>
  <c r="L1068" i="59"/>
  <c r="L369" i="59"/>
  <c r="L337" i="59"/>
  <c r="L814" i="59"/>
  <c r="L609" i="59"/>
  <c r="L370" i="59"/>
  <c r="L1071" i="59"/>
  <c r="L1064" i="59"/>
  <c r="L348" i="59"/>
  <c r="L585" i="59"/>
  <c r="L371" i="59"/>
  <c r="L846" i="59"/>
  <c r="L1052" i="59"/>
  <c r="L1084" i="59"/>
  <c r="L351" i="59"/>
  <c r="L355" i="59"/>
  <c r="L1070" i="59"/>
  <c r="L357" i="59"/>
  <c r="L596" i="59"/>
  <c r="L608" i="59"/>
  <c r="L364" i="59"/>
  <c r="L828" i="59"/>
  <c r="L583" i="59"/>
  <c r="L1074" i="59"/>
  <c r="L839" i="59"/>
  <c r="L581" i="59"/>
  <c r="L1053" i="59"/>
  <c r="L1061" i="59"/>
  <c r="L1054" i="59"/>
  <c r="L584" i="59"/>
  <c r="L366" i="59"/>
  <c r="L1055" i="59"/>
  <c r="L339" i="59"/>
  <c r="L597" i="59"/>
  <c r="L1076" i="59"/>
  <c r="L1063" i="59"/>
  <c r="L1075" i="59"/>
  <c r="L843" i="59"/>
  <c r="L1081" i="59"/>
  <c r="L349" i="59"/>
  <c r="L1057" i="59"/>
  <c r="L1060" i="59"/>
  <c r="L338" i="59"/>
  <c r="L1067" i="59"/>
  <c r="L586" i="59"/>
  <c r="L1056" i="59"/>
  <c r="L817" i="59"/>
  <c r="L582" i="59"/>
  <c r="L354" i="59"/>
  <c r="L836" i="59"/>
  <c r="L606" i="59"/>
  <c r="L826" i="59"/>
  <c r="L847" i="59"/>
  <c r="L845" i="59"/>
  <c r="L341" i="59"/>
  <c r="L578" i="59"/>
  <c r="L340" i="59"/>
  <c r="L840" i="59"/>
  <c r="L345" i="59"/>
  <c r="L594" i="59"/>
  <c r="L816" i="59"/>
  <c r="L824" i="59"/>
  <c r="L1080" i="59"/>
  <c r="L344" i="59"/>
  <c r="L595" i="59"/>
  <c r="L587" i="59"/>
  <c r="L841" i="59"/>
  <c r="L1072" i="59"/>
  <c r="L359" i="59"/>
  <c r="L575" i="59"/>
  <c r="L352" i="59"/>
  <c r="L844" i="59"/>
  <c r="L346" i="59"/>
  <c r="L821" i="59"/>
  <c r="L577" i="59"/>
  <c r="L831" i="59"/>
  <c r="L1083" i="59"/>
  <c r="L363" i="59"/>
  <c r="L593" i="59"/>
  <c r="L1078" i="59"/>
  <c r="L1058" i="59"/>
  <c r="L343" i="59"/>
  <c r="L825" i="59"/>
  <c r="L1062" i="59"/>
  <c r="L360" i="59"/>
  <c r="L1069" i="59"/>
  <c r="L832" i="59"/>
  <c r="L607" i="59"/>
  <c r="L347" i="59"/>
  <c r="B96" i="67"/>
  <c r="C7" i="73"/>
  <c r="B694" i="54"/>
  <c r="C6" i="67"/>
  <c r="B432" i="67"/>
  <c r="B726" i="67"/>
  <c r="B906" i="67"/>
  <c r="C6" i="79"/>
  <c r="C8" i="54"/>
  <c r="B81" i="49"/>
  <c r="C13" i="59"/>
  <c r="C67" i="79"/>
  <c r="B412" i="59"/>
  <c r="C75" i="79"/>
  <c r="C6" i="59"/>
  <c r="B172" i="54"/>
  <c r="B81" i="73"/>
  <c r="B120" i="53"/>
  <c r="C25" i="49"/>
  <c r="C323" i="53"/>
  <c r="C858" i="59"/>
  <c r="C195" i="67"/>
  <c r="C663" i="59"/>
  <c r="C380" i="54"/>
  <c r="C247" i="53"/>
  <c r="C756" i="54"/>
  <c r="C83" i="66"/>
  <c r="C110" i="59"/>
  <c r="C285" i="53"/>
  <c r="C234" i="67"/>
  <c r="C227" i="66"/>
  <c r="C528" i="67"/>
  <c r="C372" i="65"/>
  <c r="C566" i="67"/>
  <c r="C516" i="65"/>
  <c r="C83" i="65"/>
  <c r="C955" i="67"/>
  <c r="C340" i="54"/>
  <c r="C228" i="65"/>
  <c r="C788" i="67"/>
  <c r="C702" i="59"/>
  <c r="C419" i="54"/>
  <c r="C458" i="54"/>
  <c r="C742" i="59"/>
  <c r="C780" i="59"/>
  <c r="C135" i="49"/>
  <c r="C819" i="59"/>
  <c r="C881" i="59"/>
  <c r="C539" i="65"/>
  <c r="C811" i="67"/>
  <c r="C218" i="67"/>
  <c r="C250" i="66"/>
  <c r="C765" i="59"/>
  <c r="C158" i="49"/>
  <c r="C106" i="66"/>
  <c r="C589" i="67"/>
  <c r="C978" i="67"/>
  <c r="C257" i="67"/>
  <c r="C686" i="59"/>
  <c r="C346" i="53"/>
  <c r="C481" i="54"/>
  <c r="C803" i="59"/>
  <c r="C725" i="59"/>
  <c r="C403" i="54"/>
  <c r="C270" i="53"/>
  <c r="C363" i="54"/>
  <c r="C395" i="65"/>
  <c r="C779" i="54"/>
  <c r="C251" i="65"/>
  <c r="C106" i="65"/>
  <c r="C442" i="54"/>
  <c r="C308" i="53"/>
  <c r="C842" i="59"/>
  <c r="C133" i="59"/>
  <c r="C551" i="67"/>
  <c r="C454" i="54"/>
  <c r="C854" i="59"/>
  <c r="C951" i="67"/>
  <c r="C698" i="59"/>
  <c r="C106" i="59"/>
  <c r="C223" i="66"/>
  <c r="C815" i="59"/>
  <c r="C79" i="66"/>
  <c r="C512" i="65"/>
  <c r="C784" i="67"/>
  <c r="C415" i="54"/>
  <c r="C336" i="54"/>
  <c r="C79" i="65"/>
  <c r="C376" i="54"/>
  <c r="C131" i="49"/>
  <c r="C224" i="65"/>
  <c r="C562" i="67"/>
  <c r="C659" i="59"/>
  <c r="C368" i="65"/>
  <c r="C243" i="53"/>
  <c r="C738" i="59"/>
  <c r="C230" i="67"/>
  <c r="C524" i="67"/>
  <c r="C281" i="53"/>
  <c r="C752" i="54"/>
  <c r="C191" i="67"/>
  <c r="C776" i="59"/>
  <c r="C319" i="53"/>
  <c r="C522" i="67"/>
  <c r="C221" i="66"/>
  <c r="C129" i="49"/>
  <c r="C452" i="54"/>
  <c r="C750" i="54"/>
  <c r="C696" i="59"/>
  <c r="C189" i="67"/>
  <c r="C279" i="53"/>
  <c r="C774" i="59"/>
  <c r="C317" i="53"/>
  <c r="C413" i="54"/>
  <c r="C949" i="67"/>
  <c r="C366" i="65"/>
  <c r="C560" i="67"/>
  <c r="C334" i="54"/>
  <c r="C782" i="67"/>
  <c r="C77" i="65"/>
  <c r="C852" i="59"/>
  <c r="C241" i="53"/>
  <c r="C77" i="66"/>
  <c r="C374" i="54"/>
  <c r="C736" i="59"/>
  <c r="C510" i="65"/>
  <c r="C813" i="59"/>
  <c r="C657" i="59"/>
  <c r="C228" i="67"/>
  <c r="C104" i="59"/>
  <c r="C222" i="65"/>
  <c r="C153" i="53"/>
  <c r="C360" i="65"/>
  <c r="C284" i="54"/>
  <c r="C507" i="67"/>
  <c r="C527" i="59"/>
  <c r="C565" i="59"/>
  <c r="C97" i="59"/>
  <c r="C229" i="53"/>
  <c r="C504" i="65"/>
  <c r="C191" i="53"/>
  <c r="C116" i="49"/>
  <c r="C205" i="54"/>
  <c r="C134" i="67"/>
  <c r="C469" i="67"/>
  <c r="C323" i="54"/>
  <c r="C216" i="65"/>
  <c r="C487" i="59"/>
  <c r="C215" i="66"/>
  <c r="C71" i="66"/>
  <c r="C173" i="67"/>
  <c r="C938" i="67"/>
  <c r="C245" i="54"/>
  <c r="C448" i="59"/>
  <c r="C765" i="67"/>
  <c r="C733" i="54"/>
  <c r="C604" i="59"/>
  <c r="C643" i="59"/>
  <c r="C71" i="65"/>
  <c r="C580" i="59"/>
  <c r="C914" i="67"/>
  <c r="C336" i="65"/>
  <c r="C181" i="54"/>
  <c r="C503" i="59"/>
  <c r="C129" i="53"/>
  <c r="C709" i="54"/>
  <c r="C205" i="53"/>
  <c r="C445" i="67"/>
  <c r="C741" i="67"/>
  <c r="C167" i="53"/>
  <c r="C541" i="59"/>
  <c r="C73" i="59"/>
  <c r="C480" i="65"/>
  <c r="C47" i="65"/>
  <c r="C260" i="54"/>
  <c r="C483" i="67"/>
  <c r="C192" i="65"/>
  <c r="C110" i="67"/>
  <c r="C463" i="59"/>
  <c r="C299" i="54"/>
  <c r="C92" i="49"/>
  <c r="C221" i="54"/>
  <c r="C47" i="66"/>
  <c r="C149" i="67"/>
  <c r="C424" i="59"/>
  <c r="C619" i="59"/>
  <c r="C191" i="66"/>
  <c r="C173" i="53"/>
  <c r="C920" i="67"/>
  <c r="C211" i="53"/>
  <c r="C116" i="67"/>
  <c r="C227" i="54"/>
  <c r="C198" i="65"/>
  <c r="C486" i="65"/>
  <c r="C489" i="67"/>
  <c r="C586" i="59"/>
  <c r="C53" i="65"/>
  <c r="C197" i="66"/>
  <c r="C305" i="54"/>
  <c r="C135" i="53"/>
  <c r="C509" i="59"/>
  <c r="C187" i="54"/>
  <c r="C53" i="66"/>
  <c r="C98" i="49"/>
  <c r="C625" i="59"/>
  <c r="C715" i="54"/>
  <c r="C747" i="67"/>
  <c r="C342" i="65"/>
  <c r="C79" i="59"/>
  <c r="C547" i="59"/>
  <c r="C266" i="54"/>
  <c r="C155" i="67"/>
  <c r="C469" i="59"/>
  <c r="C430" i="59"/>
  <c r="C451" i="67"/>
  <c r="C83" i="59"/>
  <c r="C513" i="59"/>
  <c r="C139" i="53"/>
  <c r="C719" i="54"/>
  <c r="C57" i="65"/>
  <c r="C493" i="67"/>
  <c r="C57" i="66"/>
  <c r="C473" i="59"/>
  <c r="C201" i="66"/>
  <c r="C751" i="67"/>
  <c r="C202" i="65"/>
  <c r="C270" i="54"/>
  <c r="C309" i="54"/>
  <c r="C120" i="67"/>
  <c r="C159" i="67"/>
  <c r="C629" i="59"/>
  <c r="C215" i="53"/>
  <c r="C590" i="59"/>
  <c r="C231" i="54"/>
  <c r="C924" i="67"/>
  <c r="C346" i="65"/>
  <c r="C191" i="54"/>
  <c r="C551" i="59"/>
  <c r="C434" i="59"/>
  <c r="C490" i="65"/>
  <c r="C177" i="53"/>
  <c r="C455" i="67"/>
  <c r="C102" i="49"/>
  <c r="C318" i="65"/>
  <c r="C29" i="65"/>
  <c r="C29" i="66"/>
  <c r="C891" i="67"/>
  <c r="C119" i="54"/>
  <c r="C359" i="59"/>
  <c r="C282" i="59"/>
  <c r="C158" i="54"/>
  <c r="C82" i="67"/>
  <c r="C54" i="59"/>
  <c r="C67" i="49"/>
  <c r="C380" i="67"/>
  <c r="C712" i="67"/>
  <c r="C242" i="59"/>
  <c r="C80" i="54"/>
  <c r="C462" i="65"/>
  <c r="C40" i="54"/>
  <c r="C173" i="66"/>
  <c r="C320" i="59"/>
  <c r="C398" i="59"/>
  <c r="C680" i="54"/>
  <c r="C418" i="67"/>
  <c r="C174" i="65"/>
  <c r="C203" i="59"/>
  <c r="C67" i="53"/>
  <c r="C29" i="53"/>
  <c r="C105" i="53"/>
  <c r="C43" i="67"/>
  <c r="C696" i="67"/>
  <c r="C402" i="67"/>
  <c r="C13" i="66"/>
  <c r="C24" i="54"/>
  <c r="C51" i="53"/>
  <c r="C187" i="59"/>
  <c r="C103" i="54"/>
  <c r="C304" i="59"/>
  <c r="C446" i="65"/>
  <c r="C664" i="54"/>
  <c r="C157" i="66"/>
  <c r="C13" i="53"/>
  <c r="C266" i="59"/>
  <c r="C89" i="53"/>
  <c r="C66" i="67"/>
  <c r="C875" i="67"/>
  <c r="C64" i="54"/>
  <c r="C302" i="65"/>
  <c r="C51" i="49"/>
  <c r="C38" i="59"/>
  <c r="C382" i="59"/>
  <c r="C158" i="65"/>
  <c r="C343" i="59"/>
  <c r="C226" i="59"/>
  <c r="C13" i="65"/>
  <c r="C142" i="54"/>
  <c r="C364" i="67"/>
  <c r="C27" i="67"/>
  <c r="C345" i="59"/>
  <c r="C160" i="65"/>
  <c r="C366" i="67"/>
  <c r="C26" i="54"/>
  <c r="C189" i="59"/>
  <c r="C159" i="66"/>
  <c r="C228" i="59"/>
  <c r="C666" i="54"/>
  <c r="C698" i="67"/>
  <c r="C384" i="59"/>
  <c r="C68" i="67"/>
  <c r="C877" i="67"/>
  <c r="C15" i="66"/>
  <c r="C404" i="67"/>
  <c r="C15" i="65"/>
  <c r="C304" i="65"/>
  <c r="C448" i="65"/>
  <c r="C15" i="53"/>
  <c r="C53" i="53"/>
  <c r="C91" i="53"/>
  <c r="C66" i="54"/>
  <c r="C144" i="54"/>
  <c r="C53" i="49"/>
  <c r="C268" i="59"/>
  <c r="C40" i="59"/>
  <c r="C105" i="54"/>
  <c r="C306" i="59"/>
  <c r="C29" i="67"/>
  <c r="C84" i="67"/>
  <c r="C45" i="67"/>
  <c r="C464" i="65"/>
  <c r="C31" i="53"/>
  <c r="C31" i="66"/>
  <c r="C31" i="65"/>
  <c r="C893" i="67"/>
  <c r="C82" i="54"/>
  <c r="C284" i="59"/>
  <c r="C244" i="59"/>
  <c r="C420" i="67"/>
  <c r="C121" i="54"/>
  <c r="C400" i="59"/>
  <c r="C322" i="59"/>
  <c r="C714" i="67"/>
  <c r="C382" i="67"/>
  <c r="C175" i="66"/>
  <c r="C160" i="54"/>
  <c r="C320" i="65"/>
  <c r="C205" i="59"/>
  <c r="C361" i="59"/>
  <c r="C42" i="54"/>
  <c r="C56" i="59"/>
  <c r="C69" i="49"/>
  <c r="C107" i="53"/>
  <c r="C176" i="65"/>
  <c r="C682" i="54"/>
  <c r="C69" i="53"/>
  <c r="M44" i="59" a="1"/>
  <c r="M44" i="59" s="1"/>
  <c r="K44" i="59" a="1"/>
  <c r="K44" i="59" s="1"/>
  <c r="I44" i="59" a="1"/>
  <c r="I44" i="59" s="1"/>
  <c r="L44" i="59" a="1"/>
  <c r="L44" i="59" s="1"/>
  <c r="N44" i="59" a="1"/>
  <c r="N44" i="59" s="1"/>
  <c r="J44" i="59" a="1"/>
  <c r="J44" i="59" s="1"/>
  <c r="G44" i="59" a="1"/>
  <c r="G44" i="59" s="1"/>
  <c r="O44" i="59" a="1"/>
  <c r="O44" i="59" s="1"/>
  <c r="H44" i="59" a="1"/>
  <c r="H44" i="59" s="1"/>
  <c r="O53" i="59" a="1"/>
  <c r="O53" i="59" s="1"/>
  <c r="M53" i="59" a="1"/>
  <c r="M53" i="59" s="1"/>
  <c r="L53" i="59" a="1"/>
  <c r="L53" i="59" s="1"/>
  <c r="N53" i="59" a="1"/>
  <c r="N53" i="59" s="1"/>
  <c r="J53" i="59" a="1"/>
  <c r="J53" i="59" s="1"/>
  <c r="K53" i="59" a="1"/>
  <c r="K53" i="59" s="1"/>
  <c r="G53" i="59" a="1"/>
  <c r="G53" i="59" s="1"/>
  <c r="H53" i="59" a="1"/>
  <c r="H53" i="59" s="1"/>
  <c r="I53" i="59" a="1"/>
  <c r="I53" i="59" s="1"/>
  <c r="J49" i="59" a="1"/>
  <c r="J49" i="59" s="1"/>
  <c r="M49" i="59" a="1"/>
  <c r="M49" i="59" s="1"/>
  <c r="H49" i="59" a="1"/>
  <c r="H49" i="59" s="1"/>
  <c r="I49" i="59" a="1"/>
  <c r="I49" i="59" s="1"/>
  <c r="G49" i="59" a="1"/>
  <c r="G49" i="59" s="1"/>
  <c r="L49" i="59" a="1"/>
  <c r="L49" i="59" s="1"/>
  <c r="O49" i="59" a="1"/>
  <c r="O49" i="59" s="1"/>
  <c r="N49" i="59" a="1"/>
  <c r="N49" i="59" s="1"/>
  <c r="K49" i="59" a="1"/>
  <c r="K49" i="59" s="1"/>
  <c r="O51" i="59" a="1"/>
  <c r="O51" i="59" s="1"/>
  <c r="N51" i="59" a="1"/>
  <c r="N51" i="59" s="1"/>
  <c r="G51" i="59" a="1"/>
  <c r="G51" i="59" s="1"/>
  <c r="I51" i="59" a="1"/>
  <c r="I51" i="59" s="1"/>
  <c r="K51" i="59" a="1"/>
  <c r="K51" i="59" s="1"/>
  <c r="J51" i="59" a="1"/>
  <c r="J51" i="59" s="1"/>
  <c r="M51" i="59" a="1"/>
  <c r="M51" i="59" s="1"/>
  <c r="H51" i="59" a="1"/>
  <c r="H51" i="59" s="1"/>
  <c r="L51" i="59" a="1"/>
  <c r="L51" i="59" s="1"/>
  <c r="L166" i="59" a="1"/>
  <c r="L166" i="59" s="1"/>
  <c r="M166" i="59" a="1"/>
  <c r="M166" i="59" s="1"/>
  <c r="K166" i="59" a="1"/>
  <c r="K166" i="59" s="1"/>
  <c r="H166" i="59" a="1"/>
  <c r="H166" i="59" s="1"/>
  <c r="O166" i="59" a="1"/>
  <c r="O166" i="59" s="1"/>
  <c r="N166" i="59" a="1"/>
  <c r="N166" i="59" s="1"/>
  <c r="G166" i="59" a="1"/>
  <c r="G166" i="59" s="1"/>
  <c r="I166" i="59" a="1"/>
  <c r="I166" i="59" s="1"/>
  <c r="J166" i="59" a="1"/>
  <c r="J166" i="59" s="1"/>
  <c r="M167" i="59" a="1"/>
  <c r="M167" i="59" s="1"/>
  <c r="N167" i="59" a="1"/>
  <c r="N167" i="59" s="1"/>
  <c r="G167" i="59" a="1"/>
  <c r="G167" i="59" s="1"/>
  <c r="I167" i="59" a="1"/>
  <c r="I167" i="59" s="1"/>
  <c r="L167" i="59" a="1"/>
  <c r="L167" i="59" s="1"/>
  <c r="J167" i="59" a="1"/>
  <c r="J167" i="59" s="1"/>
  <c r="K167" i="59" a="1"/>
  <c r="K167" i="59" s="1"/>
  <c r="H167" i="59" a="1"/>
  <c r="H167" i="59" s="1"/>
  <c r="O167" i="59" a="1"/>
  <c r="O167" i="59" s="1"/>
  <c r="L160" i="59" a="1"/>
  <c r="L160" i="59" s="1"/>
  <c r="I160" i="59" a="1"/>
  <c r="I160" i="59" s="1"/>
  <c r="K160" i="59" a="1"/>
  <c r="K160" i="59" s="1"/>
  <c r="O160" i="59" a="1"/>
  <c r="O160" i="59" s="1"/>
  <c r="J160" i="59" a="1"/>
  <c r="J160" i="59" s="1"/>
  <c r="G160" i="59" a="1"/>
  <c r="G160" i="59" s="1"/>
  <c r="M160" i="59" a="1"/>
  <c r="M160" i="59" s="1"/>
  <c r="N160" i="59" a="1"/>
  <c r="N160" i="59" s="1"/>
  <c r="H160" i="59" a="1"/>
  <c r="H160" i="59" s="1"/>
  <c r="I174" i="59" a="1"/>
  <c r="I174" i="59" s="1"/>
  <c r="K174" i="59" a="1"/>
  <c r="K174" i="59" s="1"/>
  <c r="J174" i="59" a="1"/>
  <c r="J174" i="59" s="1"/>
  <c r="M174" i="59" a="1"/>
  <c r="M174" i="59" s="1"/>
  <c r="N174" i="59" a="1"/>
  <c r="N174" i="59" s="1"/>
  <c r="L174" i="59" a="1"/>
  <c r="L174" i="59" s="1"/>
  <c r="H174" i="59" a="1"/>
  <c r="H174" i="59" s="1"/>
  <c r="O174" i="59" a="1"/>
  <c r="O174" i="59" s="1"/>
  <c r="G174" i="59" a="1"/>
  <c r="G174" i="59" s="1"/>
  <c r="M152" i="59" a="1"/>
  <c r="M152" i="59" s="1"/>
  <c r="J152" i="59" a="1"/>
  <c r="J152" i="59" s="1"/>
  <c r="L152" i="59" a="1"/>
  <c r="L152" i="59" s="1"/>
  <c r="H152" i="59" a="1"/>
  <c r="H152" i="59" s="1"/>
  <c r="K152" i="59" a="1"/>
  <c r="K152" i="59" s="1"/>
  <c r="G152" i="59" a="1"/>
  <c r="G152" i="59" s="1"/>
  <c r="O152" i="59" a="1"/>
  <c r="O152" i="59" s="1"/>
  <c r="N152" i="59" a="1"/>
  <c r="N152" i="59" s="1"/>
  <c r="I152" i="59" a="1"/>
  <c r="I152" i="59" s="1"/>
  <c r="H74" i="59" a="1"/>
  <c r="H74" i="59" s="1"/>
  <c r="N74" i="59" a="1"/>
  <c r="N74" i="59" s="1"/>
  <c r="K74" i="59" a="1"/>
  <c r="K74" i="59" s="1"/>
  <c r="J74" i="59" a="1"/>
  <c r="J74" i="59" s="1"/>
  <c r="O74" i="59" a="1"/>
  <c r="O74" i="59" s="1"/>
  <c r="L74" i="59" a="1"/>
  <c r="L74" i="59" s="1"/>
  <c r="M74" i="59" a="1"/>
  <c r="M74" i="59" s="1"/>
  <c r="I74" i="59" a="1"/>
  <c r="I74" i="59" s="1"/>
  <c r="G74" i="59" a="1"/>
  <c r="G74" i="59" s="1"/>
  <c r="N90" i="59" a="1"/>
  <c r="N90" i="59" s="1"/>
  <c r="I90" i="59" a="1"/>
  <c r="I90" i="59" s="1"/>
  <c r="J90" i="59" a="1"/>
  <c r="J90" i="59" s="1"/>
  <c r="L90" i="59" a="1"/>
  <c r="L90" i="59" s="1"/>
  <c r="H90" i="59" a="1"/>
  <c r="H90" i="59" s="1"/>
  <c r="G90" i="59" a="1"/>
  <c r="G90" i="59" s="1"/>
  <c r="M90" i="59" a="1"/>
  <c r="M90" i="59" s="1"/>
  <c r="K90" i="59" a="1"/>
  <c r="K90" i="59" s="1"/>
  <c r="O90" i="59" a="1"/>
  <c r="O90" i="59" s="1"/>
  <c r="M73" i="59" a="1"/>
  <c r="M73" i="59" s="1"/>
  <c r="I73" i="59" a="1"/>
  <c r="I73" i="59" s="1"/>
  <c r="N73" i="59" a="1"/>
  <c r="N73" i="59" s="1"/>
  <c r="H73" i="59" a="1"/>
  <c r="H73" i="59" s="1"/>
  <c r="O73" i="59" a="1"/>
  <c r="O73" i="59" s="1"/>
  <c r="L73" i="59" a="1"/>
  <c r="L73" i="59" s="1"/>
  <c r="G73" i="59" a="1"/>
  <c r="G73" i="59" s="1"/>
  <c r="J73" i="59" a="1"/>
  <c r="J73" i="59" s="1"/>
  <c r="K73" i="59" a="1"/>
  <c r="K73" i="59" s="1"/>
  <c r="H79" i="59" a="1"/>
  <c r="H79" i="59" s="1"/>
  <c r="N79" i="59" a="1"/>
  <c r="N79" i="59" s="1"/>
  <c r="M79" i="59" a="1"/>
  <c r="M79" i="59" s="1"/>
  <c r="G79" i="59" a="1"/>
  <c r="G79" i="59" s="1"/>
  <c r="K79" i="59" a="1"/>
  <c r="K79" i="59" s="1"/>
  <c r="I79" i="59" a="1"/>
  <c r="I79" i="59" s="1"/>
  <c r="J79" i="59" a="1"/>
  <c r="J79" i="59" s="1"/>
  <c r="O79" i="59" a="1"/>
  <c r="O79" i="59" s="1"/>
  <c r="L79" i="59" a="1"/>
  <c r="L79" i="59" s="1"/>
  <c r="K125" i="59" a="1"/>
  <c r="K125" i="59" s="1"/>
  <c r="L125" i="59" a="1"/>
  <c r="L125" i="59" s="1"/>
  <c r="N125" i="59" a="1"/>
  <c r="N125" i="59" s="1"/>
  <c r="I125" i="59" a="1"/>
  <c r="I125" i="59" s="1"/>
  <c r="H125" i="59" a="1"/>
  <c r="H125" i="59" s="1"/>
  <c r="G125" i="59" a="1"/>
  <c r="G125" i="59" s="1"/>
  <c r="M125" i="59" a="1"/>
  <c r="M125" i="59" s="1"/>
  <c r="J125" i="59" a="1"/>
  <c r="J125" i="59" s="1"/>
  <c r="O125" i="59" a="1"/>
  <c r="O125" i="59" s="1"/>
  <c r="G128" i="59" a="1"/>
  <c r="G128" i="59" s="1"/>
  <c r="O128" i="59" a="1"/>
  <c r="O128" i="59" s="1"/>
  <c r="L128" i="59" a="1"/>
  <c r="L128" i="59" s="1"/>
  <c r="J128" i="59" a="1"/>
  <c r="J128" i="59" s="1"/>
  <c r="N128" i="59" a="1"/>
  <c r="N128" i="59" s="1"/>
  <c r="H128" i="59" a="1"/>
  <c r="H128" i="59" s="1"/>
  <c r="K128" i="59" a="1"/>
  <c r="K128" i="59" s="1"/>
  <c r="M128" i="59" a="1"/>
  <c r="M128" i="59" s="1"/>
  <c r="I128" i="59" a="1"/>
  <c r="I128" i="59" s="1"/>
  <c r="G132" i="59" a="1"/>
  <c r="G132" i="59" s="1"/>
  <c r="H132" i="59" a="1"/>
  <c r="H132" i="59" s="1"/>
  <c r="L132" i="59" a="1"/>
  <c r="L132" i="59" s="1"/>
  <c r="J132" i="59" a="1"/>
  <c r="J132" i="59" s="1"/>
  <c r="K132" i="59" a="1"/>
  <c r="K132" i="59" s="1"/>
  <c r="O132" i="59" a="1"/>
  <c r="O132" i="59" s="1"/>
  <c r="M132" i="59" a="1"/>
  <c r="M132" i="59" s="1"/>
  <c r="N132" i="59" a="1"/>
  <c r="N132" i="59" s="1"/>
  <c r="I132" i="59" a="1"/>
  <c r="I132" i="59" s="1"/>
  <c r="G116" i="59" a="1"/>
  <c r="G116" i="59" s="1"/>
  <c r="M116" i="59" a="1"/>
  <c r="M116" i="59" s="1"/>
  <c r="I116" i="59" a="1"/>
  <c r="I116" i="59" s="1"/>
  <c r="N116" i="59" a="1"/>
  <c r="N116" i="59" s="1"/>
  <c r="J116" i="59" a="1"/>
  <c r="J116" i="59" s="1"/>
  <c r="H116" i="59" a="1"/>
  <c r="H116" i="59" s="1"/>
  <c r="K116" i="59" a="1"/>
  <c r="K116" i="59" s="1"/>
  <c r="O116" i="59" a="1"/>
  <c r="O116" i="59" s="1"/>
  <c r="L116" i="59" a="1"/>
  <c r="L116" i="59" s="1"/>
  <c r="B648" i="54"/>
  <c r="B350" i="67"/>
  <c r="B13" i="73"/>
  <c r="C74" i="79"/>
  <c r="B3" i="53"/>
  <c r="B39" i="49"/>
  <c r="B12" i="67"/>
  <c r="C6" i="73"/>
  <c r="B14" i="54"/>
  <c r="C5" i="67"/>
  <c r="C12" i="59"/>
  <c r="C5" i="79"/>
  <c r="C5" i="59"/>
  <c r="C24" i="49"/>
  <c r="C66" i="79"/>
  <c r="B866" i="67"/>
  <c r="C7" i="54"/>
  <c r="B680" i="67"/>
  <c r="E43" i="79" a="1"/>
  <c r="E56" i="79" a="1"/>
  <c r="C749" i="59"/>
  <c r="C465" i="54"/>
  <c r="C387" i="54"/>
  <c r="C865" i="59"/>
  <c r="C426" i="54"/>
  <c r="C202" i="67"/>
  <c r="C763" i="54"/>
  <c r="C826" i="59"/>
  <c r="C709" i="59"/>
  <c r="C292" i="53"/>
  <c r="C379" i="65"/>
  <c r="C254" i="53"/>
  <c r="C241" i="67"/>
  <c r="C787" i="59"/>
  <c r="C234" i="66"/>
  <c r="C330" i="53"/>
  <c r="C235" i="65"/>
  <c r="C142" i="49"/>
  <c r="C117" i="59"/>
  <c r="C523" i="65"/>
  <c r="C670" i="59"/>
  <c r="C795" i="67"/>
  <c r="C90" i="66"/>
  <c r="C962" i="67"/>
  <c r="C347" i="54"/>
  <c r="C535" i="67"/>
  <c r="C90" i="65"/>
  <c r="C573" i="67"/>
  <c r="C812" i="67"/>
  <c r="C396" i="65"/>
  <c r="C540" i="65"/>
  <c r="C766" i="59"/>
  <c r="C404" i="54"/>
  <c r="C726" i="59"/>
  <c r="C159" i="49"/>
  <c r="C590" i="67"/>
  <c r="C552" i="67"/>
  <c r="C252" i="65"/>
  <c r="C347" i="53"/>
  <c r="C309" i="53"/>
  <c r="C780" i="54"/>
  <c r="C979" i="67"/>
  <c r="C443" i="54"/>
  <c r="C219" i="67"/>
  <c r="C364" i="54"/>
  <c r="C843" i="59"/>
  <c r="C804" i="59"/>
  <c r="C687" i="59"/>
  <c r="C271" i="53"/>
  <c r="C482" i="54"/>
  <c r="C107" i="66"/>
  <c r="C251" i="66"/>
  <c r="C258" i="67"/>
  <c r="C107" i="65"/>
  <c r="C882" i="59"/>
  <c r="C134" i="59"/>
  <c r="C445" i="54"/>
  <c r="C845" i="59"/>
  <c r="C398" i="65"/>
  <c r="C554" i="67"/>
  <c r="C311" i="53"/>
  <c r="C254" i="65"/>
  <c r="C981" i="67"/>
  <c r="C349" i="53"/>
  <c r="C782" i="54"/>
  <c r="C161" i="49"/>
  <c r="C406" i="54"/>
  <c r="C109" i="66"/>
  <c r="C542" i="65"/>
  <c r="C273" i="53"/>
  <c r="C136" i="59"/>
  <c r="C768" i="59"/>
  <c r="C806" i="59"/>
  <c r="C814" i="67"/>
  <c r="C884" i="59"/>
  <c r="C109" i="65"/>
  <c r="C484" i="54"/>
  <c r="C592" i="67"/>
  <c r="C253" i="66"/>
  <c r="C728" i="59"/>
  <c r="C689" i="59"/>
  <c r="C221" i="67"/>
  <c r="C366" i="54"/>
  <c r="C260" i="67"/>
  <c r="C529" i="65"/>
  <c r="C968" i="67"/>
  <c r="C541" i="67"/>
  <c r="C832" i="59"/>
  <c r="C871" i="59"/>
  <c r="C96" i="65"/>
  <c r="C123" i="59"/>
  <c r="C755" i="59"/>
  <c r="C579" i="67"/>
  <c r="C385" i="65"/>
  <c r="C298" i="53"/>
  <c r="C148" i="49"/>
  <c r="C393" i="54"/>
  <c r="C715" i="59"/>
  <c r="C208" i="67"/>
  <c r="C336" i="53"/>
  <c r="C793" i="59"/>
  <c r="C471" i="54"/>
  <c r="C676" i="59"/>
  <c r="C96" i="66"/>
  <c r="C353" i="54"/>
  <c r="C260" i="53"/>
  <c r="C247" i="67"/>
  <c r="C241" i="65"/>
  <c r="C801" i="67"/>
  <c r="C240" i="66"/>
  <c r="C769" i="54"/>
  <c r="C432" i="54"/>
  <c r="C605" i="59"/>
  <c r="C206" i="54"/>
  <c r="C766" i="67"/>
  <c r="C470" i="67"/>
  <c r="C449" i="59"/>
  <c r="C154" i="53"/>
  <c r="C98" i="59"/>
  <c r="C72" i="66"/>
  <c r="C505" i="65"/>
  <c r="C246" i="54"/>
  <c r="C217" i="65"/>
  <c r="C192" i="53"/>
  <c r="C488" i="59"/>
  <c r="C72" i="65"/>
  <c r="C285" i="54"/>
  <c r="C734" i="54"/>
  <c r="C230" i="53"/>
  <c r="C361" i="65"/>
  <c r="C644" i="59"/>
  <c r="C135" i="67"/>
  <c r="C216" i="66"/>
  <c r="C508" i="67"/>
  <c r="C174" i="67"/>
  <c r="C324" i="54"/>
  <c r="C939" i="67"/>
  <c r="C117" i="49"/>
  <c r="C566" i="59"/>
  <c r="C528" i="59"/>
  <c r="C48" i="65"/>
  <c r="C446" i="67"/>
  <c r="C300" i="54"/>
  <c r="C542" i="59"/>
  <c r="C206" i="53"/>
  <c r="C193" i="65"/>
  <c r="C111" i="67"/>
  <c r="C192" i="66"/>
  <c r="C337" i="65"/>
  <c r="C742" i="67"/>
  <c r="C425" i="59"/>
  <c r="C93" i="49"/>
  <c r="C620" i="59"/>
  <c r="C261" i="54"/>
  <c r="C484" i="67"/>
  <c r="C481" i="65"/>
  <c r="C464" i="59"/>
  <c r="C710" i="54"/>
  <c r="C222" i="54"/>
  <c r="C74" i="59"/>
  <c r="C504" i="59"/>
  <c r="C581" i="59"/>
  <c r="C915" i="67"/>
  <c r="C150" i="67"/>
  <c r="C168" i="53"/>
  <c r="C182" i="54"/>
  <c r="C48" i="66"/>
  <c r="C130" i="53"/>
  <c r="C287" i="54"/>
  <c r="C490" i="59"/>
  <c r="C568" i="59"/>
  <c r="C176" i="67"/>
  <c r="C156" i="53"/>
  <c r="C736" i="54"/>
  <c r="C472" i="67"/>
  <c r="C218" i="66"/>
  <c r="C646" i="59"/>
  <c r="C137" i="67"/>
  <c r="C530" i="59"/>
  <c r="C74" i="65"/>
  <c r="C507" i="65"/>
  <c r="C232" i="53"/>
  <c r="C607" i="59"/>
  <c r="C194" i="53"/>
  <c r="C510" i="67"/>
  <c r="C363" i="65"/>
  <c r="C768" i="67"/>
  <c r="C100" i="59"/>
  <c r="C74" i="66"/>
  <c r="C326" i="54"/>
  <c r="C119" i="49"/>
  <c r="C941" i="67"/>
  <c r="C208" i="54"/>
  <c r="C219" i="65"/>
  <c r="C451" i="59"/>
  <c r="C248" i="54"/>
  <c r="C617" i="59"/>
  <c r="C127" i="53"/>
  <c r="C481" i="67"/>
  <c r="C90" i="49"/>
  <c r="C258" i="54"/>
  <c r="C912" i="67"/>
  <c r="C219" i="54"/>
  <c r="C578" i="59"/>
  <c r="C147" i="67"/>
  <c r="C71" i="59"/>
  <c r="C203" i="53"/>
  <c r="C334" i="65"/>
  <c r="C443" i="67"/>
  <c r="C165" i="53"/>
  <c r="C45" i="66"/>
  <c r="C707" i="54"/>
  <c r="C539" i="59"/>
  <c r="C739" i="67"/>
  <c r="C297" i="54"/>
  <c r="C189" i="66"/>
  <c r="C461" i="59"/>
  <c r="C422" i="59"/>
  <c r="C501" i="59"/>
  <c r="C478" i="65"/>
  <c r="C45" i="65"/>
  <c r="C108" i="67"/>
  <c r="C190" i="65"/>
  <c r="C179" i="54"/>
  <c r="C8" i="53"/>
  <c r="C397" i="67"/>
  <c r="C33" i="59"/>
  <c r="C299" i="59"/>
  <c r="C46" i="49"/>
  <c r="C153" i="65"/>
  <c r="C691" i="67"/>
  <c r="C297" i="65"/>
  <c r="C359" i="67"/>
  <c r="C137" i="54"/>
  <c r="C8" i="65"/>
  <c r="C152" i="66"/>
  <c r="C8" i="66"/>
  <c r="C46" i="53"/>
  <c r="C61" i="67"/>
  <c r="C221" i="59"/>
  <c r="C659" i="54"/>
  <c r="C441" i="65"/>
  <c r="C870" i="67"/>
  <c r="C182" i="59"/>
  <c r="C377" i="59"/>
  <c r="C22" i="67"/>
  <c r="C338" i="59"/>
  <c r="C261" i="59"/>
  <c r="C19" i="54"/>
  <c r="C98" i="54"/>
  <c r="C84" i="53"/>
  <c r="C59" i="54"/>
  <c r="C357" i="59"/>
  <c r="C78" i="54"/>
  <c r="C460" i="65"/>
  <c r="C41" i="67"/>
  <c r="C201" i="59"/>
  <c r="C378" i="67"/>
  <c r="C65" i="49"/>
  <c r="C38" i="54"/>
  <c r="C103" i="53"/>
  <c r="C27" i="53"/>
  <c r="C240" i="59"/>
  <c r="C172" i="65"/>
  <c r="C171" i="66"/>
  <c r="C678" i="54"/>
  <c r="C318" i="59"/>
  <c r="C156" i="54"/>
  <c r="C27" i="65"/>
  <c r="C416" i="67"/>
  <c r="C27" i="66"/>
  <c r="C280" i="59"/>
  <c r="C889" i="67"/>
  <c r="C65" i="53"/>
  <c r="C117" i="54"/>
  <c r="C316" i="65"/>
  <c r="C710" i="67"/>
  <c r="C396" i="59"/>
  <c r="C80" i="67"/>
  <c r="C52" i="59"/>
  <c r="C101" i="54"/>
  <c r="C302" i="59"/>
  <c r="C662" i="54"/>
  <c r="C300" i="65"/>
  <c r="C22" i="54"/>
  <c r="C400" i="67"/>
  <c r="C62" i="54"/>
  <c r="C64" i="67"/>
  <c r="C36" i="59"/>
  <c r="C694" i="67"/>
  <c r="C362" i="67"/>
  <c r="C341" i="59"/>
  <c r="C264" i="59"/>
  <c r="C873" i="67"/>
  <c r="C380" i="59"/>
  <c r="C11" i="65"/>
  <c r="C185" i="59"/>
  <c r="C49" i="49"/>
  <c r="C25" i="67"/>
  <c r="C444" i="65"/>
  <c r="C49" i="53"/>
  <c r="C140" i="54"/>
  <c r="C224" i="59"/>
  <c r="C87" i="53"/>
  <c r="C11" i="53"/>
  <c r="C11" i="66"/>
  <c r="C155" i="66"/>
  <c r="C156" i="65"/>
  <c r="C463" i="65"/>
  <c r="C41" i="54"/>
  <c r="C243" i="59"/>
  <c r="C381" i="67"/>
  <c r="C360" i="59"/>
  <c r="C68" i="53"/>
  <c r="C68" i="49"/>
  <c r="C419" i="67"/>
  <c r="C30" i="66"/>
  <c r="C174" i="66"/>
  <c r="C83" i="67"/>
  <c r="C681" i="54"/>
  <c r="C175" i="65"/>
  <c r="C321" i="59"/>
  <c r="C283" i="59"/>
  <c r="C713" i="67"/>
  <c r="C106" i="53"/>
  <c r="C892" i="67"/>
  <c r="C81" i="54"/>
  <c r="C30" i="65"/>
  <c r="C120" i="54"/>
  <c r="C159" i="54"/>
  <c r="C55" i="59"/>
  <c r="C204" i="59"/>
  <c r="C44" i="67"/>
  <c r="C30" i="53"/>
  <c r="C399" i="59"/>
  <c r="C319" i="65"/>
  <c r="C337" i="59"/>
  <c r="C60" i="67"/>
  <c r="C358" i="67"/>
  <c r="C690" i="67"/>
  <c r="C7" i="53"/>
  <c r="C376" i="59"/>
  <c r="C152" i="65"/>
  <c r="C45" i="53"/>
  <c r="C869" i="67"/>
  <c r="C7" i="65"/>
  <c r="C18" i="54"/>
  <c r="C45" i="49"/>
  <c r="C7" i="66"/>
  <c r="C151" i="66"/>
  <c r="C440" i="65"/>
  <c r="C32" i="59"/>
  <c r="C298" i="59"/>
  <c r="C58" i="54"/>
  <c r="C296" i="65"/>
  <c r="C658" i="54"/>
  <c r="C396" i="67"/>
  <c r="C83" i="53"/>
  <c r="C181" i="59"/>
  <c r="C97" i="54"/>
  <c r="C260" i="59"/>
  <c r="C136" i="54"/>
  <c r="C21" i="67"/>
  <c r="C220" i="59"/>
  <c r="L38" i="59" a="1"/>
  <c r="L38" i="59" s="1"/>
  <c r="J38" i="59" a="1"/>
  <c r="J38" i="59" s="1"/>
  <c r="M38" i="59" a="1"/>
  <c r="M38" i="59" s="1"/>
  <c r="G38" i="59" a="1"/>
  <c r="G38" i="59" s="1"/>
  <c r="O38" i="59" a="1"/>
  <c r="O38" i="59" s="1"/>
  <c r="K38" i="59" a="1"/>
  <c r="K38" i="59" s="1"/>
  <c r="I38" i="59" a="1"/>
  <c r="I38" i="59" s="1"/>
  <c r="N38" i="59" a="1"/>
  <c r="N38" i="59" s="1"/>
  <c r="H38" i="59" a="1"/>
  <c r="H38" i="59" s="1"/>
  <c r="L65" i="59" a="1"/>
  <c r="L65" i="59" s="1"/>
  <c r="O65" i="59" a="1"/>
  <c r="O65" i="59" s="1"/>
  <c r="N65" i="59" a="1"/>
  <c r="N65" i="59" s="1"/>
  <c r="J65" i="59" a="1"/>
  <c r="J65" i="59" s="1"/>
  <c r="I65" i="59" a="1"/>
  <c r="I65" i="59" s="1"/>
  <c r="G65" i="59" a="1"/>
  <c r="G65" i="59" s="1"/>
  <c r="K65" i="59" a="1"/>
  <c r="K65" i="59" s="1"/>
  <c r="H65" i="59" a="1"/>
  <c r="H65" i="59" s="1"/>
  <c r="M65" i="59" a="1"/>
  <c r="M65" i="59" s="1"/>
  <c r="J46" i="59" a="1"/>
  <c r="J46" i="59" s="1"/>
  <c r="G46" i="59" a="1"/>
  <c r="G46" i="59" s="1"/>
  <c r="N46" i="59" a="1"/>
  <c r="N46" i="59" s="1"/>
  <c r="H46" i="59" a="1"/>
  <c r="H46" i="59" s="1"/>
  <c r="K46" i="59" a="1"/>
  <c r="K46" i="59" s="1"/>
  <c r="O46" i="59" a="1"/>
  <c r="O46" i="59" s="1"/>
  <c r="I46" i="59" a="1"/>
  <c r="I46" i="59" s="1"/>
  <c r="M46" i="59" a="1"/>
  <c r="M46" i="59" s="1"/>
  <c r="L46" i="59" a="1"/>
  <c r="L46" i="59" s="1"/>
  <c r="K50" i="59" a="1"/>
  <c r="K50" i="59" s="1"/>
  <c r="G50" i="59" a="1"/>
  <c r="G50" i="59" s="1"/>
  <c r="L50" i="59" a="1"/>
  <c r="L50" i="59" s="1"/>
  <c r="H50" i="59" a="1"/>
  <c r="H50" i="59" s="1"/>
  <c r="N50" i="59" a="1"/>
  <c r="N50" i="59" s="1"/>
  <c r="M50" i="59" a="1"/>
  <c r="M50" i="59" s="1"/>
  <c r="J50" i="59" a="1"/>
  <c r="J50" i="59" s="1"/>
  <c r="I50" i="59" a="1"/>
  <c r="I50" i="59" s="1"/>
  <c r="O50" i="59" a="1"/>
  <c r="O50" i="59" s="1"/>
  <c r="H141" i="59" a="1"/>
  <c r="H141" i="59" s="1"/>
  <c r="O141" i="59" a="1"/>
  <c r="O141" i="59" s="1"/>
  <c r="I141" i="59" a="1"/>
  <c r="I141" i="59" s="1"/>
  <c r="G141" i="59" a="1"/>
  <c r="G141" i="59" s="1"/>
  <c r="J141" i="59" a="1"/>
  <c r="J141" i="59" s="1"/>
  <c r="L141" i="59" a="1"/>
  <c r="L141" i="59" s="1"/>
  <c r="N141" i="59" a="1"/>
  <c r="N141" i="59" s="1"/>
  <c r="K141" i="59" a="1"/>
  <c r="K141" i="59" s="1"/>
  <c r="M141" i="59" a="1"/>
  <c r="M141" i="59" s="1"/>
  <c r="J142" i="59" a="1"/>
  <c r="J142" i="59" s="1"/>
  <c r="G142" i="59" a="1"/>
  <c r="G142" i="59" s="1"/>
  <c r="K142" i="59" a="1"/>
  <c r="K142" i="59" s="1"/>
  <c r="I142" i="59" a="1"/>
  <c r="I142" i="59" s="1"/>
  <c r="H142" i="59" a="1"/>
  <c r="H142" i="59" s="1"/>
  <c r="L142" i="59" a="1"/>
  <c r="L142" i="59" s="1"/>
  <c r="O142" i="59" a="1"/>
  <c r="O142" i="59" s="1"/>
  <c r="N142" i="59" a="1"/>
  <c r="N142" i="59" s="1"/>
  <c r="M142" i="59" a="1"/>
  <c r="M142" i="59" s="1"/>
  <c r="N151" i="59" a="1"/>
  <c r="N151" i="59" s="1"/>
  <c r="J151" i="59" a="1"/>
  <c r="J151" i="59" s="1"/>
  <c r="G151" i="59" a="1"/>
  <c r="G151" i="59" s="1"/>
  <c r="O151" i="59" a="1"/>
  <c r="O151" i="59" s="1"/>
  <c r="H151" i="59" a="1"/>
  <c r="H151" i="59" s="1"/>
  <c r="L151" i="59" a="1"/>
  <c r="L151" i="59" s="1"/>
  <c r="M151" i="59" a="1"/>
  <c r="M151" i="59" s="1"/>
  <c r="K151" i="59" a="1"/>
  <c r="K151" i="59" s="1"/>
  <c r="I151" i="59" a="1"/>
  <c r="I151" i="59" s="1"/>
  <c r="O149" i="59" a="1"/>
  <c r="O149" i="59" s="1"/>
  <c r="K149" i="59" a="1"/>
  <c r="K149" i="59" s="1"/>
  <c r="G149" i="59" a="1"/>
  <c r="G149" i="59" s="1"/>
  <c r="J149" i="59" a="1"/>
  <c r="J149" i="59" s="1"/>
  <c r="I149" i="59" a="1"/>
  <c r="I149" i="59" s="1"/>
  <c r="N149" i="59" a="1"/>
  <c r="N149" i="59" s="1"/>
  <c r="H149" i="59" a="1"/>
  <c r="H149" i="59" s="1"/>
  <c r="L149" i="59" a="1"/>
  <c r="L149" i="59" s="1"/>
  <c r="M149" i="59" a="1"/>
  <c r="M149" i="59" s="1"/>
  <c r="O162" i="59" a="1"/>
  <c r="O162" i="59" s="1"/>
  <c r="J162" i="59" a="1"/>
  <c r="J162" i="59" s="1"/>
  <c r="I162" i="59" a="1"/>
  <c r="I162" i="59" s="1"/>
  <c r="M162" i="59" a="1"/>
  <c r="M162" i="59" s="1"/>
  <c r="N162" i="59" a="1"/>
  <c r="N162" i="59" s="1"/>
  <c r="L162" i="59" a="1"/>
  <c r="L162" i="59" s="1"/>
  <c r="K162" i="59" a="1"/>
  <c r="K162" i="59" s="1"/>
  <c r="G162" i="59" a="1"/>
  <c r="G162" i="59" s="1"/>
  <c r="H162" i="59" a="1"/>
  <c r="H162" i="59" s="1"/>
  <c r="K102" i="59" a="1"/>
  <c r="K102" i="59" s="1"/>
  <c r="G102" i="59" a="1"/>
  <c r="G102" i="59" s="1"/>
  <c r="M102" i="59" a="1"/>
  <c r="M102" i="59" s="1"/>
  <c r="N102" i="59" a="1"/>
  <c r="N102" i="59" s="1"/>
  <c r="L102" i="59" a="1"/>
  <c r="L102" i="59" s="1"/>
  <c r="H102" i="59" a="1"/>
  <c r="H102" i="59" s="1"/>
  <c r="O102" i="59" a="1"/>
  <c r="O102" i="59" s="1"/>
  <c r="J102" i="59" a="1"/>
  <c r="J102" i="59" s="1"/>
  <c r="I102" i="59" a="1"/>
  <c r="I102" i="59" s="1"/>
  <c r="H89" i="59" a="1"/>
  <c r="H89" i="59" s="1"/>
  <c r="L89" i="59" a="1"/>
  <c r="L89" i="59" s="1"/>
  <c r="I89" i="59" a="1"/>
  <c r="I89" i="59" s="1"/>
  <c r="O89" i="59" a="1"/>
  <c r="O89" i="59" s="1"/>
  <c r="J89" i="59" a="1"/>
  <c r="J89" i="59" s="1"/>
  <c r="G89" i="59" a="1"/>
  <c r="G89" i="59" s="1"/>
  <c r="M89" i="59" a="1"/>
  <c r="M89" i="59" s="1"/>
  <c r="K89" i="59" a="1"/>
  <c r="K89" i="59" s="1"/>
  <c r="N89" i="59" a="1"/>
  <c r="N89" i="59" s="1"/>
  <c r="H70" i="59" a="1"/>
  <c r="H70" i="59" s="1"/>
  <c r="G70" i="59" a="1"/>
  <c r="G70" i="59" s="1"/>
  <c r="O70" i="59" a="1"/>
  <c r="O70" i="59" s="1"/>
  <c r="L70" i="59" a="1"/>
  <c r="L70" i="59" s="1"/>
  <c r="M70" i="59" a="1"/>
  <c r="M70" i="59" s="1"/>
  <c r="J70" i="59" a="1"/>
  <c r="J70" i="59" s="1"/>
  <c r="K70" i="59" a="1"/>
  <c r="K70" i="59" s="1"/>
  <c r="I70" i="59" a="1"/>
  <c r="I70" i="59" s="1"/>
  <c r="N70" i="59" a="1"/>
  <c r="N70" i="59" s="1"/>
  <c r="M93" i="59" a="1"/>
  <c r="M93" i="59" s="1"/>
  <c r="N93" i="59" a="1"/>
  <c r="N93" i="59" s="1"/>
  <c r="J93" i="59" a="1"/>
  <c r="J93" i="59" s="1"/>
  <c r="K93" i="59" a="1"/>
  <c r="K93" i="59" s="1"/>
  <c r="I93" i="59" a="1"/>
  <c r="I93" i="59" s="1"/>
  <c r="O93" i="59" a="1"/>
  <c r="O93" i="59" s="1"/>
  <c r="L93" i="59" a="1"/>
  <c r="L93" i="59" s="1"/>
  <c r="H93" i="59" a="1"/>
  <c r="H93" i="59" s="1"/>
  <c r="G93" i="59" a="1"/>
  <c r="G93" i="59" s="1"/>
  <c r="N122" i="59" a="1"/>
  <c r="N122" i="59" s="1"/>
  <c r="K122" i="59" a="1"/>
  <c r="K122" i="59" s="1"/>
  <c r="G122" i="59" a="1"/>
  <c r="G122" i="59" s="1"/>
  <c r="J122" i="59" a="1"/>
  <c r="J122" i="59" s="1"/>
  <c r="I122" i="59" a="1"/>
  <c r="I122" i="59" s="1"/>
  <c r="H122" i="59" a="1"/>
  <c r="H122" i="59" s="1"/>
  <c r="M122" i="59" a="1"/>
  <c r="M122" i="59" s="1"/>
  <c r="O122" i="59" a="1"/>
  <c r="O122" i="59" s="1"/>
  <c r="L122" i="59" a="1"/>
  <c r="L122" i="59" s="1"/>
  <c r="O107" i="59" a="1"/>
  <c r="O107" i="59" s="1"/>
  <c r="M107" i="59" a="1"/>
  <c r="M107" i="59" s="1"/>
  <c r="N107" i="59" a="1"/>
  <c r="N107" i="59" s="1"/>
  <c r="G107" i="59" a="1"/>
  <c r="G107" i="59" s="1"/>
  <c r="I107" i="59" a="1"/>
  <c r="I107" i="59" s="1"/>
  <c r="J107" i="59" a="1"/>
  <c r="J107" i="59" s="1"/>
  <c r="H107" i="59" a="1"/>
  <c r="H107" i="59" s="1"/>
  <c r="L107" i="59" a="1"/>
  <c r="L107" i="59" s="1"/>
  <c r="K107" i="59" a="1"/>
  <c r="K107" i="59" s="1"/>
  <c r="M111" i="59" a="1"/>
  <c r="M111" i="59" s="1"/>
  <c r="O111" i="59" a="1"/>
  <c r="O111" i="59" s="1"/>
  <c r="I111" i="59" a="1"/>
  <c r="I111" i="59" s="1"/>
  <c r="J111" i="59" a="1"/>
  <c r="J111" i="59" s="1"/>
  <c r="G111" i="59" a="1"/>
  <c r="G111" i="59" s="1"/>
  <c r="L111" i="59" a="1"/>
  <c r="L111" i="59" s="1"/>
  <c r="H111" i="59" a="1"/>
  <c r="H111" i="59" s="1"/>
  <c r="K111" i="59" a="1"/>
  <c r="K111" i="59" s="1"/>
  <c r="N111" i="59" a="1"/>
  <c r="N111" i="59" s="1"/>
  <c r="K135" i="59" a="1"/>
  <c r="K135" i="59" s="1"/>
  <c r="I135" i="59" a="1"/>
  <c r="I135" i="59" s="1"/>
  <c r="G135" i="59" a="1"/>
  <c r="G135" i="59" s="1"/>
  <c r="N135" i="59" a="1"/>
  <c r="N135" i="59" s="1"/>
  <c r="L135" i="59" a="1"/>
  <c r="L135" i="59" s="1"/>
  <c r="O135" i="59" a="1"/>
  <c r="O135" i="59" s="1"/>
  <c r="M135" i="59" a="1"/>
  <c r="M135" i="59" s="1"/>
  <c r="H135" i="59" a="1"/>
  <c r="H135" i="59" s="1"/>
  <c r="J135" i="59" a="1"/>
  <c r="J135" i="59" s="1"/>
  <c r="B888" i="59"/>
  <c r="B986" i="67"/>
  <c r="B818" i="67"/>
  <c r="C10" i="54"/>
  <c r="C8" i="59"/>
  <c r="C69" i="79"/>
  <c r="C77" i="79"/>
  <c r="B354" i="53"/>
  <c r="C15" i="59"/>
  <c r="B264" i="67"/>
  <c r="C8" i="67"/>
  <c r="B217" i="73"/>
  <c r="C8" i="79"/>
  <c r="B786" i="54"/>
  <c r="B488" i="54"/>
  <c r="C27" i="49"/>
  <c r="B165" i="49"/>
  <c r="B596" i="67"/>
  <c r="C9" i="73"/>
  <c r="C235" i="66"/>
  <c r="C118" i="59"/>
  <c r="C796" i="67"/>
  <c r="C963" i="67"/>
  <c r="C91" i="66"/>
  <c r="C671" i="59"/>
  <c r="C203" i="67"/>
  <c r="C331" i="53"/>
  <c r="C293" i="53"/>
  <c r="C91" i="65"/>
  <c r="C524" i="65"/>
  <c r="C866" i="59"/>
  <c r="C348" i="54"/>
  <c r="C788" i="59"/>
  <c r="C242" i="67"/>
  <c r="C574" i="67"/>
  <c r="C827" i="59"/>
  <c r="C750" i="59"/>
  <c r="C466" i="54"/>
  <c r="C536" i="67"/>
  <c r="C380" i="65"/>
  <c r="C236" i="65"/>
  <c r="C388" i="54"/>
  <c r="C427" i="54"/>
  <c r="C143" i="49"/>
  <c r="C255" i="53"/>
  <c r="C764" i="54"/>
  <c r="C710" i="59"/>
  <c r="C152" i="49"/>
  <c r="C100" i="66"/>
  <c r="C389" i="65"/>
  <c r="C264" i="53"/>
  <c r="C397" i="54"/>
  <c r="C836" i="59"/>
  <c r="C680" i="59"/>
  <c r="C127" i="59"/>
  <c r="C773" i="54"/>
  <c r="C875" i="59"/>
  <c r="C302" i="53"/>
  <c r="C972" i="67"/>
  <c r="C583" i="67"/>
  <c r="C797" i="59"/>
  <c r="C340" i="53"/>
  <c r="C212" i="67"/>
  <c r="C244" i="66"/>
  <c r="C100" i="65"/>
  <c r="C759" i="59"/>
  <c r="C719" i="59"/>
  <c r="C245" i="65"/>
  <c r="C805" i="67"/>
  <c r="C533" i="65"/>
  <c r="C475" i="54"/>
  <c r="C545" i="67"/>
  <c r="C357" i="54"/>
  <c r="C251" i="67"/>
  <c r="C436" i="54"/>
  <c r="C213" i="67"/>
  <c r="C584" i="67"/>
  <c r="C341" i="53"/>
  <c r="C720" i="59"/>
  <c r="C681" i="59"/>
  <c r="C534" i="65"/>
  <c r="C265" i="53"/>
  <c r="C358" i="54"/>
  <c r="C437" i="54"/>
  <c r="C252" i="67"/>
  <c r="C876" i="59"/>
  <c r="C973" i="67"/>
  <c r="C837" i="59"/>
  <c r="C303" i="53"/>
  <c r="C101" i="65"/>
  <c r="C245" i="66"/>
  <c r="C774" i="54"/>
  <c r="C246" i="65"/>
  <c r="C760" i="59"/>
  <c r="C806" i="67"/>
  <c r="C153" i="49"/>
  <c r="C128" i="59"/>
  <c r="C476" i="54"/>
  <c r="C101" i="66"/>
  <c r="C798" i="59"/>
  <c r="C546" i="67"/>
  <c r="C398" i="54"/>
  <c r="C390" i="65"/>
  <c r="C860" i="59"/>
  <c r="C421" i="54"/>
  <c r="C460" i="54"/>
  <c r="C530" i="67"/>
  <c r="C374" i="65"/>
  <c r="C137" i="49"/>
  <c r="C790" i="67"/>
  <c r="C782" i="59"/>
  <c r="C230" i="65"/>
  <c r="C249" i="53"/>
  <c r="C229" i="66"/>
  <c r="C704" i="59"/>
  <c r="C287" i="53"/>
  <c r="C197" i="67"/>
  <c r="C957" i="67"/>
  <c r="C85" i="65"/>
  <c r="C342" i="54"/>
  <c r="C568" i="67"/>
  <c r="C382" i="54"/>
  <c r="C85" i="66"/>
  <c r="C758" i="54"/>
  <c r="C236" i="67"/>
  <c r="C518" i="65"/>
  <c r="C665" i="59"/>
  <c r="C744" i="59"/>
  <c r="C821" i="59"/>
  <c r="C112" i="59"/>
  <c r="C325" i="53"/>
  <c r="C200" i="65"/>
  <c r="C749" i="67"/>
  <c r="C229" i="54"/>
  <c r="C588" i="59"/>
  <c r="C471" i="59"/>
  <c r="C488" i="65"/>
  <c r="C307" i="54"/>
  <c r="C118" i="67"/>
  <c r="C213" i="53"/>
  <c r="C157" i="67"/>
  <c r="C55" i="66"/>
  <c r="C189" i="54"/>
  <c r="C922" i="67"/>
  <c r="C175" i="53"/>
  <c r="C100" i="49"/>
  <c r="C432" i="59"/>
  <c r="C549" i="59"/>
  <c r="C137" i="53"/>
  <c r="C491" i="67"/>
  <c r="C511" i="59"/>
  <c r="C717" i="54"/>
  <c r="C81" i="59"/>
  <c r="C453" i="67"/>
  <c r="C55" i="65"/>
  <c r="C344" i="65"/>
  <c r="C268" i="54"/>
  <c r="C199" i="66"/>
  <c r="C627" i="59"/>
  <c r="C195" i="66"/>
  <c r="C918" i="67"/>
  <c r="C209" i="53"/>
  <c r="C507" i="59"/>
  <c r="C153" i="67"/>
  <c r="C225" i="54"/>
  <c r="C51" i="66"/>
  <c r="C623" i="59"/>
  <c r="C185" i="54"/>
  <c r="C467" i="59"/>
  <c r="C545" i="59"/>
  <c r="C171" i="53"/>
  <c r="C133" i="53"/>
  <c r="C428" i="59"/>
  <c r="C196" i="65"/>
  <c r="C745" i="67"/>
  <c r="C449" i="67"/>
  <c r="C713" i="54"/>
  <c r="C584" i="59"/>
  <c r="C484" i="65"/>
  <c r="C77" i="59"/>
  <c r="C487" i="67"/>
  <c r="C114" i="67"/>
  <c r="C264" i="54"/>
  <c r="C96" i="49"/>
  <c r="C51" i="65"/>
  <c r="C303" i="54"/>
  <c r="C340" i="65"/>
  <c r="C471" i="67"/>
  <c r="C217" i="66"/>
  <c r="C247" i="54"/>
  <c r="C175" i="67"/>
  <c r="C193" i="53"/>
  <c r="C207" i="54"/>
  <c r="C567" i="59"/>
  <c r="C73" i="66"/>
  <c r="C325" i="54"/>
  <c r="C509" i="67"/>
  <c r="C940" i="67"/>
  <c r="C529" i="59"/>
  <c r="C118" i="49"/>
  <c r="C136" i="67"/>
  <c r="C606" i="59"/>
  <c r="C450" i="59"/>
  <c r="C218" i="65"/>
  <c r="C362" i="65"/>
  <c r="C735" i="54"/>
  <c r="C231" i="53"/>
  <c r="C645" i="59"/>
  <c r="C489" i="59"/>
  <c r="C73" i="65"/>
  <c r="C286" i="54"/>
  <c r="C767" i="67"/>
  <c r="C506" i="65"/>
  <c r="C99" i="59"/>
  <c r="C155" i="53"/>
  <c r="C616" i="59"/>
  <c r="C538" i="59"/>
  <c r="C706" i="54"/>
  <c r="C296" i="54"/>
  <c r="C189" i="65"/>
  <c r="C500" i="59"/>
  <c r="C202" i="53"/>
  <c r="C178" i="54"/>
  <c r="C421" i="59"/>
  <c r="C89" i="49"/>
  <c r="C44" i="65"/>
  <c r="C107" i="67"/>
  <c r="C188" i="66"/>
  <c r="C577" i="59"/>
  <c r="C460" i="59"/>
  <c r="C218" i="54"/>
  <c r="C442" i="67"/>
  <c r="C70" i="59"/>
  <c r="C146" i="67"/>
  <c r="C333" i="65"/>
  <c r="C911" i="67"/>
  <c r="C126" i="53"/>
  <c r="C164" i="53"/>
  <c r="C44" i="66"/>
  <c r="C257" i="54"/>
  <c r="C480" i="67"/>
  <c r="C477" i="65"/>
  <c r="C738" i="67"/>
  <c r="C65" i="66"/>
  <c r="C199" i="54"/>
  <c r="C637" i="59"/>
  <c r="C185" i="53"/>
  <c r="C598" i="59"/>
  <c r="C147" i="53"/>
  <c r="C278" i="54"/>
  <c r="C759" i="67"/>
  <c r="C498" i="65"/>
  <c r="C209" i="66"/>
  <c r="C463" i="67"/>
  <c r="C442" i="59"/>
  <c r="C128" i="67"/>
  <c r="C481" i="59"/>
  <c r="C354" i="65"/>
  <c r="C521" i="59"/>
  <c r="C727" i="54"/>
  <c r="C210" i="65"/>
  <c r="C559" i="59"/>
  <c r="C65" i="65"/>
  <c r="C317" i="54"/>
  <c r="C167" i="67"/>
  <c r="C239" i="54"/>
  <c r="C223" i="53"/>
  <c r="C110" i="49"/>
  <c r="C91" i="59"/>
  <c r="C932" i="67"/>
  <c r="C501" i="67"/>
  <c r="C141" i="54"/>
  <c r="C874" i="67"/>
  <c r="C26" i="67"/>
  <c r="C363" i="67"/>
  <c r="C342" i="59"/>
  <c r="C265" i="59"/>
  <c r="C50" i="49"/>
  <c r="C401" i="67"/>
  <c r="C12" i="66"/>
  <c r="C157" i="65"/>
  <c r="C37" i="59"/>
  <c r="C65" i="67"/>
  <c r="C102" i="54"/>
  <c r="C63" i="54"/>
  <c r="C303" i="59"/>
  <c r="C301" i="65"/>
  <c r="C381" i="59"/>
  <c r="C12" i="65"/>
  <c r="C12" i="53"/>
  <c r="C695" i="67"/>
  <c r="C23" i="54"/>
  <c r="C50" i="53"/>
  <c r="C88" i="53"/>
  <c r="C156" i="66"/>
  <c r="C663" i="54"/>
  <c r="C186" i="59"/>
  <c r="C225" i="59"/>
  <c r="C445" i="65"/>
  <c r="C329" i="65"/>
  <c r="C78" i="53"/>
  <c r="C429" i="67"/>
  <c r="C391" i="67"/>
  <c r="C723" i="67"/>
  <c r="C169" i="54"/>
  <c r="C331" i="59"/>
  <c r="C214" i="59"/>
  <c r="C691" i="54"/>
  <c r="C93" i="67"/>
  <c r="C54" i="67"/>
  <c r="C409" i="59"/>
  <c r="C116" i="53"/>
  <c r="C130" i="54"/>
  <c r="C40" i="65"/>
  <c r="C78" i="49"/>
  <c r="C40" i="66"/>
  <c r="C65" i="59"/>
  <c r="C902" i="67"/>
  <c r="C51" i="54"/>
  <c r="C473" i="65"/>
  <c r="C253" i="59"/>
  <c r="C293" i="59"/>
  <c r="C370" i="59"/>
  <c r="C91" i="54"/>
  <c r="C40" i="53"/>
  <c r="C185" i="65"/>
  <c r="C184" i="66"/>
  <c r="C690" i="54"/>
  <c r="C90" i="54"/>
  <c r="C53" i="67"/>
  <c r="C328" i="65"/>
  <c r="C168" i="54"/>
  <c r="C330" i="59"/>
  <c r="C390" i="67"/>
  <c r="C39" i="66"/>
  <c r="C408" i="59"/>
  <c r="C92" i="67"/>
  <c r="C722" i="67"/>
  <c r="C129" i="54"/>
  <c r="C39" i="53"/>
  <c r="C428" i="67"/>
  <c r="C184" i="65"/>
  <c r="C472" i="65"/>
  <c r="C77" i="53"/>
  <c r="C252" i="59"/>
  <c r="C183" i="66"/>
  <c r="C39" i="65"/>
  <c r="C115" i="53"/>
  <c r="C77" i="49"/>
  <c r="C64" i="59"/>
  <c r="C213" i="59"/>
  <c r="C50" i="54"/>
  <c r="C369" i="59"/>
  <c r="C292" i="59"/>
  <c r="C901" i="67"/>
  <c r="C41" i="53"/>
  <c r="C131" i="54"/>
  <c r="C392" i="67"/>
  <c r="C332" i="59"/>
  <c r="C330" i="65"/>
  <c r="C41" i="66"/>
  <c r="C66" i="59"/>
  <c r="C692" i="54"/>
  <c r="C215" i="59"/>
  <c r="C185" i="66"/>
  <c r="C430" i="67"/>
  <c r="C903" i="67"/>
  <c r="C117" i="53"/>
  <c r="C41" i="65"/>
  <c r="C79" i="53"/>
  <c r="C79" i="49"/>
  <c r="C410" i="59"/>
  <c r="C186" i="65"/>
  <c r="C724" i="67"/>
  <c r="C474" i="65"/>
  <c r="C170" i="54"/>
  <c r="C55" i="67"/>
  <c r="C52" i="54"/>
  <c r="C371" i="59"/>
  <c r="C92" i="54"/>
  <c r="C294" i="59"/>
  <c r="C254" i="59"/>
  <c r="C94" i="67"/>
  <c r="C456" i="65"/>
  <c r="C99" i="53"/>
  <c r="C392" i="59"/>
  <c r="C314" i="59"/>
  <c r="C706" i="67"/>
  <c r="C34" i="54"/>
  <c r="C167" i="66"/>
  <c r="C23" i="65"/>
  <c r="C412" i="67"/>
  <c r="C674" i="54"/>
  <c r="C113" i="54"/>
  <c r="C61" i="49"/>
  <c r="C61" i="53"/>
  <c r="C168" i="65"/>
  <c r="C197" i="59"/>
  <c r="C74" i="54"/>
  <c r="C37" i="67"/>
  <c r="C236" i="59"/>
  <c r="C152" i="54"/>
  <c r="C312" i="65"/>
  <c r="C353" i="59"/>
  <c r="C276" i="59"/>
  <c r="C23" i="66"/>
  <c r="C23" i="53"/>
  <c r="C48" i="59"/>
  <c r="C374" i="67"/>
  <c r="C76" i="67"/>
  <c r="C885" i="67"/>
  <c r="I43" i="59" a="1"/>
  <c r="I43" i="59" s="1"/>
  <c r="M43" i="59" a="1"/>
  <c r="M43" i="59" s="1"/>
  <c r="H43" i="59" a="1"/>
  <c r="H43" i="59" s="1"/>
  <c r="O43" i="59" a="1"/>
  <c r="O43" i="59" s="1"/>
  <c r="K43" i="59" a="1"/>
  <c r="K43" i="59" s="1"/>
  <c r="N43" i="59" a="1"/>
  <c r="N43" i="59" s="1"/>
  <c r="L43" i="59" a="1"/>
  <c r="L43" i="59" s="1"/>
  <c r="J43" i="59" a="1"/>
  <c r="J43" i="59" s="1"/>
  <c r="G43" i="59" a="1"/>
  <c r="G43" i="59" s="1"/>
  <c r="G40" i="59" a="1"/>
  <c r="G40" i="59" s="1"/>
  <c r="O40" i="59" a="1"/>
  <c r="O40" i="59" s="1"/>
  <c r="M40" i="59" a="1"/>
  <c r="M40" i="59" s="1"/>
  <c r="J40" i="59" a="1"/>
  <c r="J40" i="59" s="1"/>
  <c r="I40" i="59" a="1"/>
  <c r="I40" i="59" s="1"/>
  <c r="L40" i="59" a="1"/>
  <c r="L40" i="59" s="1"/>
  <c r="H40" i="59" a="1"/>
  <c r="H40" i="59" s="1"/>
  <c r="K40" i="59" a="1"/>
  <c r="K40" i="59" s="1"/>
  <c r="N40" i="59" a="1"/>
  <c r="N40" i="59" s="1"/>
  <c r="L66" i="59" a="1"/>
  <c r="L66" i="59" s="1"/>
  <c r="K66" i="59" a="1"/>
  <c r="K66" i="59" s="1"/>
  <c r="I66" i="59" a="1"/>
  <c r="I66" i="59" s="1"/>
  <c r="M66" i="59" a="1"/>
  <c r="M66" i="59" s="1"/>
  <c r="G66" i="59" a="1"/>
  <c r="G66" i="59" s="1"/>
  <c r="O66" i="59" a="1"/>
  <c r="O66" i="59" s="1"/>
  <c r="N66" i="59" a="1"/>
  <c r="N66" i="59" s="1"/>
  <c r="H66" i="59" a="1"/>
  <c r="H66" i="59" s="1"/>
  <c r="J66" i="59" a="1"/>
  <c r="J66" i="59" s="1"/>
  <c r="K64" i="59" a="1"/>
  <c r="K64" i="59" s="1"/>
  <c r="M64" i="59" a="1"/>
  <c r="M64" i="59" s="1"/>
  <c r="J64" i="59" a="1"/>
  <c r="J64" i="59" s="1"/>
  <c r="I64" i="59" a="1"/>
  <c r="I64" i="59" s="1"/>
  <c r="L64" i="59" a="1"/>
  <c r="L64" i="59" s="1"/>
  <c r="O64" i="59" a="1"/>
  <c r="O64" i="59" s="1"/>
  <c r="G64" i="59" a="1"/>
  <c r="G64" i="59" s="1"/>
  <c r="N64" i="59" a="1"/>
  <c r="N64" i="59" s="1"/>
  <c r="H64" i="59" a="1"/>
  <c r="H64" i="59" s="1"/>
  <c r="J153" i="59" a="1"/>
  <c r="J153" i="59" s="1"/>
  <c r="K153" i="59" a="1"/>
  <c r="K153" i="59" s="1"/>
  <c r="I153" i="59" a="1"/>
  <c r="I153" i="59" s="1"/>
  <c r="G153" i="59" a="1"/>
  <c r="G153" i="59" s="1"/>
  <c r="O153" i="59" a="1"/>
  <c r="O153" i="59" s="1"/>
  <c r="H153" i="59" a="1"/>
  <c r="H153" i="59" s="1"/>
  <c r="N153" i="59" a="1"/>
  <c r="N153" i="59" s="1"/>
  <c r="M153" i="59" a="1"/>
  <c r="M153" i="59" s="1"/>
  <c r="L153" i="59" a="1"/>
  <c r="L153" i="59" s="1"/>
  <c r="H156" i="59" a="1"/>
  <c r="H156" i="59" s="1"/>
  <c r="G156" i="59" a="1"/>
  <c r="G156" i="59" s="1"/>
  <c r="L156" i="59" a="1"/>
  <c r="L156" i="59" s="1"/>
  <c r="M156" i="59" a="1"/>
  <c r="M156" i="59" s="1"/>
  <c r="J156" i="59" a="1"/>
  <c r="J156" i="59" s="1"/>
  <c r="N156" i="59" a="1"/>
  <c r="N156" i="59" s="1"/>
  <c r="K156" i="59" a="1"/>
  <c r="K156" i="59" s="1"/>
  <c r="O156" i="59" a="1"/>
  <c r="O156" i="59" s="1"/>
  <c r="I156" i="59" a="1"/>
  <c r="I156" i="59" s="1"/>
  <c r="K165" i="59" a="1"/>
  <c r="K165" i="59" s="1"/>
  <c r="I165" i="59" a="1"/>
  <c r="I165" i="59" s="1"/>
  <c r="H165" i="59" a="1"/>
  <c r="H165" i="59" s="1"/>
  <c r="G165" i="59" a="1"/>
  <c r="G165" i="59" s="1"/>
  <c r="M165" i="59" a="1"/>
  <c r="M165" i="59" s="1"/>
  <c r="L165" i="59" a="1"/>
  <c r="L165" i="59" s="1"/>
  <c r="O165" i="59" a="1"/>
  <c r="O165" i="59" s="1"/>
  <c r="J165" i="59" a="1"/>
  <c r="J165" i="59" s="1"/>
  <c r="N165" i="59" a="1"/>
  <c r="N165" i="59" s="1"/>
  <c r="I171" i="59" a="1"/>
  <c r="I171" i="59" s="1"/>
  <c r="H171" i="59" a="1"/>
  <c r="H171" i="59" s="1"/>
  <c r="N171" i="59" a="1"/>
  <c r="N171" i="59" s="1"/>
  <c r="J171" i="59" a="1"/>
  <c r="J171" i="59" s="1"/>
  <c r="K171" i="59" a="1"/>
  <c r="K171" i="59" s="1"/>
  <c r="G171" i="59" a="1"/>
  <c r="G171" i="59" s="1"/>
  <c r="M171" i="59" a="1"/>
  <c r="M171" i="59" s="1"/>
  <c r="O171" i="59" a="1"/>
  <c r="O171" i="59" s="1"/>
  <c r="L171" i="59" a="1"/>
  <c r="L171" i="59" s="1"/>
  <c r="G99" i="59" a="1"/>
  <c r="G99" i="59" s="1"/>
  <c r="J99" i="59" a="1"/>
  <c r="J99" i="59" s="1"/>
  <c r="N99" i="59" a="1"/>
  <c r="N99" i="59" s="1"/>
  <c r="K99" i="59" a="1"/>
  <c r="K99" i="59" s="1"/>
  <c r="L99" i="59" a="1"/>
  <c r="L99" i="59" s="1"/>
  <c r="H99" i="59" a="1"/>
  <c r="H99" i="59" s="1"/>
  <c r="O99" i="59" a="1"/>
  <c r="O99" i="59" s="1"/>
  <c r="M99" i="59" a="1"/>
  <c r="M99" i="59" s="1"/>
  <c r="I99" i="59" a="1"/>
  <c r="I99" i="59" s="1"/>
  <c r="L77" i="59" a="1"/>
  <c r="L77" i="59" s="1"/>
  <c r="J77" i="59" a="1"/>
  <c r="J77" i="59" s="1"/>
  <c r="I77" i="59" a="1"/>
  <c r="I77" i="59" s="1"/>
  <c r="H77" i="59" a="1"/>
  <c r="H77" i="59" s="1"/>
  <c r="G77" i="59" a="1"/>
  <c r="G77" i="59" s="1"/>
  <c r="O77" i="59" a="1"/>
  <c r="O77" i="59" s="1"/>
  <c r="K77" i="59" a="1"/>
  <c r="K77" i="59" s="1"/>
  <c r="M77" i="59" a="1"/>
  <c r="M77" i="59" s="1"/>
  <c r="N77" i="59" a="1"/>
  <c r="N77" i="59" s="1"/>
  <c r="L86" i="59" a="1"/>
  <c r="L86" i="59" s="1"/>
  <c r="M86" i="59" a="1"/>
  <c r="M86" i="59" s="1"/>
  <c r="H86" i="59" a="1"/>
  <c r="H86" i="59" s="1"/>
  <c r="G86" i="59" a="1"/>
  <c r="G86" i="59" s="1"/>
  <c r="I86" i="59" a="1"/>
  <c r="I86" i="59" s="1"/>
  <c r="N86" i="59" a="1"/>
  <c r="N86" i="59" s="1"/>
  <c r="O86" i="59" a="1"/>
  <c r="O86" i="59" s="1"/>
  <c r="J86" i="59" a="1"/>
  <c r="J86" i="59" s="1"/>
  <c r="K86" i="59" a="1"/>
  <c r="K86" i="59" s="1"/>
  <c r="G84" i="59" a="1"/>
  <c r="G84" i="59" s="1"/>
  <c r="K84" i="59" a="1"/>
  <c r="K84" i="59" s="1"/>
  <c r="O84" i="59" a="1"/>
  <c r="O84" i="59" s="1"/>
  <c r="M84" i="59" a="1"/>
  <c r="M84" i="59" s="1"/>
  <c r="N84" i="59" a="1"/>
  <c r="N84" i="59" s="1"/>
  <c r="H84" i="59" a="1"/>
  <c r="H84" i="59" s="1"/>
  <c r="L84" i="59" a="1"/>
  <c r="L84" i="59" s="1"/>
  <c r="I84" i="59" a="1"/>
  <c r="I84" i="59" s="1"/>
  <c r="J84" i="59" a="1"/>
  <c r="J84" i="59" s="1"/>
  <c r="N68" i="59" a="1"/>
  <c r="N68" i="59" s="1"/>
  <c r="L68" i="59" a="1"/>
  <c r="L68" i="59" s="1"/>
  <c r="H68" i="59" a="1"/>
  <c r="H68" i="59" s="1"/>
  <c r="G68" i="59" a="1"/>
  <c r="G68" i="59" s="1"/>
  <c r="M68" i="59" a="1"/>
  <c r="M68" i="59" s="1"/>
  <c r="K68" i="59" a="1"/>
  <c r="K68" i="59" s="1"/>
  <c r="I68" i="59" a="1"/>
  <c r="I68" i="59" s="1"/>
  <c r="J68" i="59" a="1"/>
  <c r="J68" i="59" s="1"/>
  <c r="O68" i="59" a="1"/>
  <c r="O68" i="59" s="1"/>
  <c r="O105" i="59" a="1"/>
  <c r="O105" i="59" s="1"/>
  <c r="L105" i="59" a="1"/>
  <c r="L105" i="59" s="1"/>
  <c r="J105" i="59" a="1"/>
  <c r="J105" i="59" s="1"/>
  <c r="G105" i="59" a="1"/>
  <c r="G105" i="59" s="1"/>
  <c r="M105" i="59" a="1"/>
  <c r="M105" i="59" s="1"/>
  <c r="I105" i="59" a="1"/>
  <c r="I105" i="59" s="1"/>
  <c r="N105" i="59" a="1"/>
  <c r="N105" i="59" s="1"/>
  <c r="H105" i="59" a="1"/>
  <c r="H105" i="59" s="1"/>
  <c r="K105" i="59" a="1"/>
  <c r="K105" i="59" s="1"/>
  <c r="O115" i="59" a="1"/>
  <c r="O115" i="59" s="1"/>
  <c r="M115" i="59" a="1"/>
  <c r="M115" i="59" s="1"/>
  <c r="K115" i="59" a="1"/>
  <c r="K115" i="59" s="1"/>
  <c r="J115" i="59" a="1"/>
  <c r="J115" i="59" s="1"/>
  <c r="L115" i="59" a="1"/>
  <c r="L115" i="59" s="1"/>
  <c r="I115" i="59" a="1"/>
  <c r="I115" i="59" s="1"/>
  <c r="H115" i="59" a="1"/>
  <c r="H115" i="59" s="1"/>
  <c r="G115" i="59" a="1"/>
  <c r="G115" i="59" s="1"/>
  <c r="N115" i="59" a="1"/>
  <c r="N115" i="59" s="1"/>
  <c r="O123" i="59" a="1"/>
  <c r="O123" i="59" s="1"/>
  <c r="I123" i="59" a="1"/>
  <c r="I123" i="59" s="1"/>
  <c r="G123" i="59" a="1"/>
  <c r="G123" i="59" s="1"/>
  <c r="N123" i="59" a="1"/>
  <c r="N123" i="59" s="1"/>
  <c r="H123" i="59" a="1"/>
  <c r="H123" i="59" s="1"/>
  <c r="M123" i="59" a="1"/>
  <c r="M123" i="59" s="1"/>
  <c r="K123" i="59" a="1"/>
  <c r="K123" i="59" s="1"/>
  <c r="L123" i="59" a="1"/>
  <c r="L123" i="59" s="1"/>
  <c r="J123" i="59" a="1"/>
  <c r="J123" i="59" s="1"/>
  <c r="O126" i="59" a="1"/>
  <c r="O126" i="59" s="1"/>
  <c r="G126" i="59" a="1"/>
  <c r="G126" i="59" s="1"/>
  <c r="M126" i="59" a="1"/>
  <c r="M126" i="59" s="1"/>
  <c r="H126" i="59" a="1"/>
  <c r="H126" i="59" s="1"/>
  <c r="I126" i="59" a="1"/>
  <c r="I126" i="59" s="1"/>
  <c r="L126" i="59" a="1"/>
  <c r="L126" i="59" s="1"/>
  <c r="N126" i="59" a="1"/>
  <c r="N126" i="59" s="1"/>
  <c r="K126" i="59" a="1"/>
  <c r="K126" i="59" s="1"/>
  <c r="J126" i="59" a="1"/>
  <c r="J126" i="59" s="1"/>
  <c r="C756" i="59"/>
  <c r="C337" i="53"/>
  <c r="C97" i="65"/>
  <c r="C433" i="54"/>
  <c r="C386" i="65"/>
  <c r="C209" i="67"/>
  <c r="C833" i="59"/>
  <c r="C716" i="59"/>
  <c r="C969" i="67"/>
  <c r="C542" i="67"/>
  <c r="C580" i="67"/>
  <c r="C261" i="53"/>
  <c r="C241" i="66"/>
  <c r="C677" i="59"/>
  <c r="C770" i="54"/>
  <c r="C97" i="66"/>
  <c r="C802" i="67"/>
  <c r="C794" i="59"/>
  <c r="C299" i="53"/>
  <c r="C149" i="49"/>
  <c r="C124" i="59"/>
  <c r="C394" i="54"/>
  <c r="C872" i="59"/>
  <c r="C354" i="54"/>
  <c r="C472" i="54"/>
  <c r="C248" i="67"/>
  <c r="C530" i="65"/>
  <c r="C242" i="65"/>
  <c r="C737" i="59"/>
  <c r="C105" i="59"/>
  <c r="C335" i="54"/>
  <c r="C561" i="67"/>
  <c r="C318" i="53"/>
  <c r="C78" i="66"/>
  <c r="C453" i="54"/>
  <c r="C751" i="54"/>
  <c r="C222" i="66"/>
  <c r="C697" i="59"/>
  <c r="C242" i="53"/>
  <c r="C511" i="65"/>
  <c r="C367" i="65"/>
  <c r="C223" i="65"/>
  <c r="C523" i="67"/>
  <c r="C280" i="53"/>
  <c r="C814" i="59"/>
  <c r="C229" i="67"/>
  <c r="C414" i="54"/>
  <c r="C775" i="59"/>
  <c r="C375" i="54"/>
  <c r="C190" i="67"/>
  <c r="C853" i="59"/>
  <c r="C950" i="67"/>
  <c r="C658" i="59"/>
  <c r="C130" i="49"/>
  <c r="C78" i="65"/>
  <c r="C783" i="67"/>
  <c r="C296" i="53"/>
  <c r="C753" i="59"/>
  <c r="C239" i="65"/>
  <c r="C430" i="54"/>
  <c r="C351" i="54"/>
  <c r="C121" i="59"/>
  <c r="C791" i="59"/>
  <c r="C245" i="67"/>
  <c r="C966" i="67"/>
  <c r="C799" i="67"/>
  <c r="C238" i="66"/>
  <c r="C206" i="67"/>
  <c r="C146" i="49"/>
  <c r="C830" i="59"/>
  <c r="C334" i="53"/>
  <c r="C674" i="59"/>
  <c r="C869" i="59"/>
  <c r="C539" i="67"/>
  <c r="C391" i="54"/>
  <c r="C767" i="54"/>
  <c r="C258" i="53"/>
  <c r="C577" i="67"/>
  <c r="C94" i="65"/>
  <c r="C383" i="65"/>
  <c r="C527" i="65"/>
  <c r="C94" i="66"/>
  <c r="C713" i="59"/>
  <c r="C469" i="54"/>
  <c r="C538" i="67"/>
  <c r="C712" i="59"/>
  <c r="C237" i="66"/>
  <c r="C576" i="67"/>
  <c r="C829" i="59"/>
  <c r="C382" i="65"/>
  <c r="C798" i="67"/>
  <c r="C257" i="53"/>
  <c r="C790" i="59"/>
  <c r="C752" i="59"/>
  <c r="C333" i="53"/>
  <c r="C390" i="54"/>
  <c r="C766" i="54"/>
  <c r="C965" i="67"/>
  <c r="C205" i="67"/>
  <c r="C350" i="54"/>
  <c r="C93" i="66"/>
  <c r="C145" i="49"/>
  <c r="C673" i="59"/>
  <c r="C868" i="59"/>
  <c r="C93" i="65"/>
  <c r="C429" i="54"/>
  <c r="C295" i="53"/>
  <c r="C244" i="67"/>
  <c r="C526" i="65"/>
  <c r="C468" i="54"/>
  <c r="C238" i="65"/>
  <c r="C120" i="59"/>
  <c r="C384" i="65"/>
  <c r="C122" i="59"/>
  <c r="C335" i="53"/>
  <c r="C540" i="67"/>
  <c r="C239" i="66"/>
  <c r="C240" i="65"/>
  <c r="C675" i="59"/>
  <c r="C207" i="67"/>
  <c r="C578" i="67"/>
  <c r="C392" i="54"/>
  <c r="C528" i="65"/>
  <c r="C470" i="54"/>
  <c r="C792" i="59"/>
  <c r="C754" i="59"/>
  <c r="C95" i="66"/>
  <c r="C246" i="67"/>
  <c r="C147" i="49"/>
  <c r="C259" i="53"/>
  <c r="C352" i="54"/>
  <c r="C768" i="54"/>
  <c r="C870" i="59"/>
  <c r="C714" i="59"/>
  <c r="C431" i="54"/>
  <c r="C95" i="65"/>
  <c r="C800" i="67"/>
  <c r="C297" i="53"/>
  <c r="C831" i="59"/>
  <c r="C967" i="67"/>
  <c r="C101" i="49"/>
  <c r="C230" i="54"/>
  <c r="C472" i="59"/>
  <c r="C589" i="59"/>
  <c r="C190" i="54"/>
  <c r="C750" i="67"/>
  <c r="C201" i="65"/>
  <c r="C138" i="53"/>
  <c r="C269" i="54"/>
  <c r="C158" i="67"/>
  <c r="C433" i="59"/>
  <c r="C56" i="65"/>
  <c r="C628" i="59"/>
  <c r="C56" i="66"/>
  <c r="C200" i="66"/>
  <c r="C119" i="67"/>
  <c r="C489" i="65"/>
  <c r="C923" i="67"/>
  <c r="C454" i="67"/>
  <c r="C345" i="65"/>
  <c r="C82" i="59"/>
  <c r="C308" i="54"/>
  <c r="C176" i="53"/>
  <c r="C512" i="59"/>
  <c r="C718" i="54"/>
  <c r="C214" i="53"/>
  <c r="C492" i="67"/>
  <c r="C550" i="59"/>
  <c r="C62" i="66"/>
  <c r="C478" i="59"/>
  <c r="C88" i="59"/>
  <c r="C595" i="59"/>
  <c r="C314" i="54"/>
  <c r="C460" i="67"/>
  <c r="C518" i="59"/>
  <c r="C351" i="65"/>
  <c r="C196" i="54"/>
  <c r="C62" i="65"/>
  <c r="C756" i="67"/>
  <c r="C929" i="67"/>
  <c r="C164" i="67"/>
  <c r="C236" i="54"/>
  <c r="C182" i="53"/>
  <c r="C495" i="65"/>
  <c r="C144" i="53"/>
  <c r="C107" i="49"/>
  <c r="C207" i="65"/>
  <c r="C206" i="66"/>
  <c r="C724" i="54"/>
  <c r="C634" i="59"/>
  <c r="C275" i="54"/>
  <c r="C125" i="67"/>
  <c r="C556" i="59"/>
  <c r="C439" i="59"/>
  <c r="C220" i="53"/>
  <c r="C498" i="67"/>
  <c r="C477" i="59"/>
  <c r="C755" i="67"/>
  <c r="C106" i="49"/>
  <c r="C219" i="53"/>
  <c r="C143" i="53"/>
  <c r="C723" i="54"/>
  <c r="C517" i="59"/>
  <c r="C459" i="67"/>
  <c r="C195" i="54"/>
  <c r="C181" i="53"/>
  <c r="C205" i="66"/>
  <c r="C633" i="59"/>
  <c r="C350" i="65"/>
  <c r="C555" i="59"/>
  <c r="C235" i="54"/>
  <c r="C274" i="54"/>
  <c r="C87" i="59"/>
  <c r="C497" i="67"/>
  <c r="C61" i="65"/>
  <c r="C124" i="67"/>
  <c r="C928" i="67"/>
  <c r="C594" i="59"/>
  <c r="C438" i="59"/>
  <c r="C206" i="65"/>
  <c r="C163" i="67"/>
  <c r="C61" i="66"/>
  <c r="C313" i="54"/>
  <c r="C494" i="65"/>
  <c r="C95" i="59"/>
  <c r="C203" i="54"/>
  <c r="C214" i="65"/>
  <c r="C502" i="65"/>
  <c r="C446" i="59"/>
  <c r="C602" i="59"/>
  <c r="C641" i="59"/>
  <c r="C213" i="66"/>
  <c r="C227" i="53"/>
  <c r="C132" i="67"/>
  <c r="C243" i="54"/>
  <c r="C936" i="67"/>
  <c r="C114" i="49"/>
  <c r="C189" i="53"/>
  <c r="C563" i="59"/>
  <c r="C763" i="67"/>
  <c r="C358" i="65"/>
  <c r="C282" i="54"/>
  <c r="C69" i="66"/>
  <c r="C151" i="53"/>
  <c r="C171" i="67"/>
  <c r="C505" i="67"/>
  <c r="C467" i="67"/>
  <c r="C69" i="65"/>
  <c r="C731" i="54"/>
  <c r="C525" i="59"/>
  <c r="C321" i="54"/>
  <c r="C485" i="59"/>
  <c r="C193" i="66"/>
  <c r="C49" i="66"/>
  <c r="C112" i="67"/>
  <c r="C505" i="59"/>
  <c r="C465" i="59"/>
  <c r="C49" i="65"/>
  <c r="C743" i="67"/>
  <c r="C916" i="67"/>
  <c r="C207" i="53"/>
  <c r="C485" i="67"/>
  <c r="C621" i="59"/>
  <c r="C151" i="67"/>
  <c r="C94" i="49"/>
  <c r="C582" i="59"/>
  <c r="C301" i="54"/>
  <c r="C131" i="53"/>
  <c r="C169" i="53"/>
  <c r="C711" i="54"/>
  <c r="C223" i="54"/>
  <c r="C338" i="65"/>
  <c r="C183" i="54"/>
  <c r="C75" i="59"/>
  <c r="C543" i="59"/>
  <c r="C482" i="65"/>
  <c r="C426" i="59"/>
  <c r="C447" i="67"/>
  <c r="C262" i="54"/>
  <c r="C194" i="65"/>
  <c r="C9" i="65"/>
  <c r="C47" i="49"/>
  <c r="C398" i="67"/>
  <c r="C154" i="65"/>
  <c r="C262" i="59"/>
  <c r="C360" i="67"/>
  <c r="C153" i="66"/>
  <c r="C298" i="65"/>
  <c r="C62" i="67"/>
  <c r="C9" i="53"/>
  <c r="C20" i="54"/>
  <c r="C871" i="67"/>
  <c r="C183" i="59"/>
  <c r="C60" i="54"/>
  <c r="C9" i="66"/>
  <c r="C85" i="53"/>
  <c r="C339" i="59"/>
  <c r="C23" i="67"/>
  <c r="C300" i="59"/>
  <c r="C138" i="54"/>
  <c r="C222" i="59"/>
  <c r="C378" i="59"/>
  <c r="C99" i="54"/>
  <c r="C34" i="59"/>
  <c r="C442" i="65"/>
  <c r="C660" i="54"/>
  <c r="C692" i="67"/>
  <c r="C47" i="53"/>
  <c r="C251" i="59"/>
  <c r="C471" i="65"/>
  <c r="C114" i="53"/>
  <c r="C329" i="59"/>
  <c r="C327" i="65"/>
  <c r="C49" i="54"/>
  <c r="C389" i="67"/>
  <c r="C212" i="59"/>
  <c r="C291" i="59"/>
  <c r="C182" i="66"/>
  <c r="C721" i="67"/>
  <c r="C900" i="67"/>
  <c r="C38" i="53"/>
  <c r="C167" i="54"/>
  <c r="C689" i="54"/>
  <c r="C38" i="66"/>
  <c r="C76" i="49"/>
  <c r="C128" i="54"/>
  <c r="C368" i="59"/>
  <c r="C183" i="65"/>
  <c r="C91" i="67"/>
  <c r="C89" i="54"/>
  <c r="C407" i="59"/>
  <c r="C76" i="53"/>
  <c r="C63" i="59"/>
  <c r="C427" i="67"/>
  <c r="C52" i="67"/>
  <c r="C38" i="65"/>
  <c r="C325" i="65"/>
  <c r="C687" i="54"/>
  <c r="C898" i="67"/>
  <c r="C89" i="67"/>
  <c r="C74" i="49"/>
  <c r="C719" i="67"/>
  <c r="C387" i="67"/>
  <c r="C425" i="67"/>
  <c r="C405" i="59"/>
  <c r="C87" i="54"/>
  <c r="C36" i="66"/>
  <c r="C180" i="66"/>
  <c r="C366" i="59"/>
  <c r="C249" i="59"/>
  <c r="C126" i="54"/>
  <c r="C36" i="53"/>
  <c r="C74" i="53"/>
  <c r="C36" i="65"/>
  <c r="C61" i="59"/>
  <c r="C50" i="67"/>
  <c r="C469" i="65"/>
  <c r="C165" i="54"/>
  <c r="C112" i="53"/>
  <c r="C289" i="59"/>
  <c r="C181" i="65"/>
  <c r="C210" i="59"/>
  <c r="C327" i="59"/>
  <c r="C47" i="54"/>
  <c r="C56" i="53"/>
  <c r="C108" i="54"/>
  <c r="C451" i="65"/>
  <c r="C701" i="67"/>
  <c r="C880" i="67"/>
  <c r="C18" i="66"/>
  <c r="C32" i="67"/>
  <c r="C94" i="53"/>
  <c r="C348" i="59"/>
  <c r="C71" i="67"/>
  <c r="C231" i="59"/>
  <c r="C163" i="65"/>
  <c r="C56" i="49"/>
  <c r="C271" i="59"/>
  <c r="C369" i="67"/>
  <c r="C192" i="59"/>
  <c r="C18" i="65"/>
  <c r="C307" i="65"/>
  <c r="C407" i="67"/>
  <c r="C69" i="54"/>
  <c r="C387" i="59"/>
  <c r="C162" i="66"/>
  <c r="C147" i="54"/>
  <c r="C18" i="53"/>
  <c r="C669" i="54"/>
  <c r="C29" i="54"/>
  <c r="C43" i="59"/>
  <c r="C309" i="59"/>
  <c r="C665" i="54"/>
  <c r="C305" i="59"/>
  <c r="C14" i="65"/>
  <c r="C383" i="59"/>
  <c r="C52" i="49"/>
  <c r="C365" i="67"/>
  <c r="C25" i="54"/>
  <c r="C65" i="54"/>
  <c r="C447" i="65"/>
  <c r="C267" i="59"/>
  <c r="C303" i="65"/>
  <c r="C67" i="67"/>
  <c r="C227" i="59"/>
  <c r="C39" i="59"/>
  <c r="C876" i="67"/>
  <c r="C28" i="67"/>
  <c r="C159" i="65"/>
  <c r="C14" i="66"/>
  <c r="C344" i="59"/>
  <c r="C104" i="54"/>
  <c r="C14" i="53"/>
  <c r="C697" i="67"/>
  <c r="C158" i="66"/>
  <c r="C403" i="67"/>
  <c r="C52" i="53"/>
  <c r="C143" i="54"/>
  <c r="C90" i="53"/>
  <c r="C188" i="59"/>
  <c r="O60" i="59" a="1"/>
  <c r="O60" i="59" s="1"/>
  <c r="H60" i="59" a="1"/>
  <c r="H60" i="59" s="1"/>
  <c r="G60" i="59" a="1"/>
  <c r="G60" i="59" s="1"/>
  <c r="N60" i="59" a="1"/>
  <c r="N60" i="59" s="1"/>
  <c r="J60" i="59" a="1"/>
  <c r="J60" i="59" s="1"/>
  <c r="L60" i="59" a="1"/>
  <c r="L60" i="59" s="1"/>
  <c r="K60" i="59" a="1"/>
  <c r="K60" i="59" s="1"/>
  <c r="M60" i="59" a="1"/>
  <c r="M60" i="59" s="1"/>
  <c r="I60" i="59" a="1"/>
  <c r="I60" i="59" s="1"/>
  <c r="J52" i="59" a="1"/>
  <c r="J52" i="59" s="1"/>
  <c r="G52" i="59" a="1"/>
  <c r="G52" i="59" s="1"/>
  <c r="K52" i="59" a="1"/>
  <c r="K52" i="59" s="1"/>
  <c r="M52" i="59" a="1"/>
  <c r="M52" i="59" s="1"/>
  <c r="H52" i="59" a="1"/>
  <c r="H52" i="59" s="1"/>
  <c r="L52" i="59" a="1"/>
  <c r="L52" i="59" s="1"/>
  <c r="N52" i="59" a="1"/>
  <c r="N52" i="59" s="1"/>
  <c r="O52" i="59" a="1"/>
  <c r="O52" i="59" s="1"/>
  <c r="I52" i="59" a="1"/>
  <c r="I52" i="59" s="1"/>
  <c r="L41" i="59" a="1"/>
  <c r="L41" i="59" s="1"/>
  <c r="K41" i="59" a="1"/>
  <c r="K41" i="59" s="1"/>
  <c r="G41" i="59" a="1"/>
  <c r="G41" i="59" s="1"/>
  <c r="N41" i="59" a="1"/>
  <c r="N41" i="59" s="1"/>
  <c r="H41" i="59" a="1"/>
  <c r="H41" i="59" s="1"/>
  <c r="I41" i="59" a="1"/>
  <c r="I41" i="59" s="1"/>
  <c r="J41" i="59" a="1"/>
  <c r="J41" i="59" s="1"/>
  <c r="M41" i="59" a="1"/>
  <c r="M41" i="59" s="1"/>
  <c r="O41" i="59" a="1"/>
  <c r="O41" i="59" s="1"/>
  <c r="H42" i="59" a="1"/>
  <c r="H42" i="59" s="1"/>
  <c r="L42" i="59" a="1"/>
  <c r="L42" i="59" s="1"/>
  <c r="O42" i="59" a="1"/>
  <c r="O42" i="59" s="1"/>
  <c r="G42" i="59" a="1"/>
  <c r="G42" i="59" s="1"/>
  <c r="J42" i="59" a="1"/>
  <c r="J42" i="59" s="1"/>
  <c r="M42" i="59" a="1"/>
  <c r="M42" i="59" s="1"/>
  <c r="I42" i="59" a="1"/>
  <c r="I42" i="59" s="1"/>
  <c r="K42" i="59" a="1"/>
  <c r="K42" i="59" s="1"/>
  <c r="N42" i="59" a="1"/>
  <c r="N42" i="59" s="1"/>
  <c r="I158" i="59" a="1"/>
  <c r="I158" i="59" s="1"/>
  <c r="G158" i="59" a="1"/>
  <c r="G158" i="59" s="1"/>
  <c r="K158" i="59" a="1"/>
  <c r="K158" i="59" s="1"/>
  <c r="N158" i="59" a="1"/>
  <c r="N158" i="59" s="1"/>
  <c r="M158" i="59" a="1"/>
  <c r="M158" i="59" s="1"/>
  <c r="H158" i="59" a="1"/>
  <c r="H158" i="59" s="1"/>
  <c r="J158" i="59" a="1"/>
  <c r="J158" i="59" s="1"/>
  <c r="O158" i="59" a="1"/>
  <c r="O158" i="59" s="1"/>
  <c r="L158" i="59" a="1"/>
  <c r="L158" i="59" s="1"/>
  <c r="H144" i="59" a="1"/>
  <c r="H144" i="59" s="1"/>
  <c r="G144" i="59" a="1"/>
  <c r="G144" i="59" s="1"/>
  <c r="L144" i="59" a="1"/>
  <c r="L144" i="59" s="1"/>
  <c r="M144" i="59" a="1"/>
  <c r="M144" i="59" s="1"/>
  <c r="O144" i="59" a="1"/>
  <c r="O144" i="59" s="1"/>
  <c r="K144" i="59" a="1"/>
  <c r="K144" i="59" s="1"/>
  <c r="J144" i="59" a="1"/>
  <c r="J144" i="59" s="1"/>
  <c r="I144" i="59" a="1"/>
  <c r="I144" i="59" s="1"/>
  <c r="N144" i="59" a="1"/>
  <c r="N144" i="59" s="1"/>
  <c r="L140" i="59" a="1"/>
  <c r="L140" i="59" s="1"/>
  <c r="J140" i="59" a="1"/>
  <c r="J140" i="59" s="1"/>
  <c r="O140" i="59" a="1"/>
  <c r="O140" i="59" s="1"/>
  <c r="H140" i="59" a="1"/>
  <c r="H140" i="59" s="1"/>
  <c r="M140" i="59" a="1"/>
  <c r="M140" i="59" s="1"/>
  <c r="N140" i="59" a="1"/>
  <c r="N140" i="59" s="1"/>
  <c r="K140" i="59" a="1"/>
  <c r="K140" i="59" s="1"/>
  <c r="I140" i="59" a="1"/>
  <c r="I140" i="59" s="1"/>
  <c r="G140" i="59" a="1"/>
  <c r="G140" i="59" s="1"/>
  <c r="O147" i="59" a="1"/>
  <c r="O147" i="59" s="1"/>
  <c r="K147" i="59" a="1"/>
  <c r="K147" i="59" s="1"/>
  <c r="I147" i="59" a="1"/>
  <c r="I147" i="59" s="1"/>
  <c r="M147" i="59" a="1"/>
  <c r="M147" i="59" s="1"/>
  <c r="G147" i="59" a="1"/>
  <c r="G147" i="59" s="1"/>
  <c r="L147" i="59" a="1"/>
  <c r="L147" i="59" s="1"/>
  <c r="N147" i="59" a="1"/>
  <c r="N147" i="59" s="1"/>
  <c r="H147" i="59" a="1"/>
  <c r="H147" i="59" s="1"/>
  <c r="J147" i="59" a="1"/>
  <c r="J147" i="59" s="1"/>
  <c r="N83" i="59" a="1"/>
  <c r="N83" i="59" s="1"/>
  <c r="I83" i="59" a="1"/>
  <c r="I83" i="59" s="1"/>
  <c r="G83" i="59" a="1"/>
  <c r="G83" i="59" s="1"/>
  <c r="K83" i="59" a="1"/>
  <c r="K83" i="59" s="1"/>
  <c r="J83" i="59" a="1"/>
  <c r="J83" i="59" s="1"/>
  <c r="O83" i="59" a="1"/>
  <c r="O83" i="59" s="1"/>
  <c r="L83" i="59" a="1"/>
  <c r="L83" i="59" s="1"/>
  <c r="H83" i="59" a="1"/>
  <c r="H83" i="59" s="1"/>
  <c r="M83" i="59" a="1"/>
  <c r="M83" i="59" s="1"/>
  <c r="L97" i="59" a="1"/>
  <c r="L97" i="59" s="1"/>
  <c r="G97" i="59" a="1"/>
  <c r="G97" i="59" s="1"/>
  <c r="O97" i="59" a="1"/>
  <c r="O97" i="59" s="1"/>
  <c r="I97" i="59" a="1"/>
  <c r="I97" i="59" s="1"/>
  <c r="J97" i="59" a="1"/>
  <c r="J97" i="59" s="1"/>
  <c r="H97" i="59" a="1"/>
  <c r="H97" i="59" s="1"/>
  <c r="N97" i="59" a="1"/>
  <c r="N97" i="59" s="1"/>
  <c r="K97" i="59" a="1"/>
  <c r="K97" i="59" s="1"/>
  <c r="M97" i="59" a="1"/>
  <c r="M97" i="59" s="1"/>
  <c r="M100" i="59" a="1"/>
  <c r="M100" i="59" s="1"/>
  <c r="I100" i="59" a="1"/>
  <c r="I100" i="59" s="1"/>
  <c r="O100" i="59" a="1"/>
  <c r="O100" i="59" s="1"/>
  <c r="H100" i="59" a="1"/>
  <c r="H100" i="59" s="1"/>
  <c r="L100" i="59" a="1"/>
  <c r="L100" i="59" s="1"/>
  <c r="J100" i="59" a="1"/>
  <c r="J100" i="59" s="1"/>
  <c r="N100" i="59" a="1"/>
  <c r="N100" i="59" s="1"/>
  <c r="G100" i="59" a="1"/>
  <c r="G100" i="59" s="1"/>
  <c r="K100" i="59" a="1"/>
  <c r="K100" i="59" s="1"/>
  <c r="L96" i="59" a="1"/>
  <c r="L96" i="59" s="1"/>
  <c r="K96" i="59" a="1"/>
  <c r="K96" i="59" s="1"/>
  <c r="J96" i="59" a="1"/>
  <c r="J96" i="59" s="1"/>
  <c r="G96" i="59" a="1"/>
  <c r="G96" i="59" s="1"/>
  <c r="I96" i="59" a="1"/>
  <c r="I96" i="59" s="1"/>
  <c r="O96" i="59" a="1"/>
  <c r="O96" i="59" s="1"/>
  <c r="M96" i="59" a="1"/>
  <c r="M96" i="59" s="1"/>
  <c r="H96" i="59" a="1"/>
  <c r="H96" i="59" s="1"/>
  <c r="N96" i="59" a="1"/>
  <c r="N96" i="59" s="1"/>
  <c r="I91" i="59" a="1"/>
  <c r="I91" i="59" s="1"/>
  <c r="H91" i="59" a="1"/>
  <c r="H91" i="59" s="1"/>
  <c r="L91" i="59" a="1"/>
  <c r="L91" i="59" s="1"/>
  <c r="G91" i="59" a="1"/>
  <c r="G91" i="59" s="1"/>
  <c r="O91" i="59" a="1"/>
  <c r="O91" i="59" s="1"/>
  <c r="K91" i="59" a="1"/>
  <c r="K91" i="59" s="1"/>
  <c r="N91" i="59" a="1"/>
  <c r="N91" i="59" s="1"/>
  <c r="M91" i="59" a="1"/>
  <c r="M91" i="59" s="1"/>
  <c r="J91" i="59" a="1"/>
  <c r="J91" i="59" s="1"/>
  <c r="G117" i="59" a="1"/>
  <c r="G117" i="59" s="1"/>
  <c r="O117" i="59" a="1"/>
  <c r="O117" i="59" s="1"/>
  <c r="M117" i="59" a="1"/>
  <c r="M117" i="59" s="1"/>
  <c r="H117" i="59" a="1"/>
  <c r="H117" i="59" s="1"/>
  <c r="L117" i="59" a="1"/>
  <c r="L117" i="59" s="1"/>
  <c r="J117" i="59" a="1"/>
  <c r="J117" i="59" s="1"/>
  <c r="I117" i="59" a="1"/>
  <c r="I117" i="59" s="1"/>
  <c r="N117" i="59" a="1"/>
  <c r="N117" i="59" s="1"/>
  <c r="K117" i="59" a="1"/>
  <c r="K117" i="59" s="1"/>
  <c r="N120" i="59" a="1"/>
  <c r="N120" i="59" s="1"/>
  <c r="L120" i="59" a="1"/>
  <c r="L120" i="59" s="1"/>
  <c r="H120" i="59" a="1"/>
  <c r="H120" i="59" s="1"/>
  <c r="K120" i="59" a="1"/>
  <c r="K120" i="59" s="1"/>
  <c r="M120" i="59" a="1"/>
  <c r="M120" i="59" s="1"/>
  <c r="O120" i="59" a="1"/>
  <c r="O120" i="59" s="1"/>
  <c r="J120" i="59" a="1"/>
  <c r="J120" i="59" s="1"/>
  <c r="G120" i="59" a="1"/>
  <c r="G120" i="59" s="1"/>
  <c r="I120" i="59" a="1"/>
  <c r="I120" i="59" s="1"/>
  <c r="M129" i="59" a="1"/>
  <c r="M129" i="59" s="1"/>
  <c r="I129" i="59" a="1"/>
  <c r="I129" i="59" s="1"/>
  <c r="G129" i="59" a="1"/>
  <c r="G129" i="59" s="1"/>
  <c r="K129" i="59" a="1"/>
  <c r="K129" i="59" s="1"/>
  <c r="H129" i="59" a="1"/>
  <c r="H129" i="59" s="1"/>
  <c r="L129" i="59" a="1"/>
  <c r="L129" i="59" s="1"/>
  <c r="O129" i="59" a="1"/>
  <c r="O129" i="59" s="1"/>
  <c r="N129" i="59" a="1"/>
  <c r="N129" i="59" s="1"/>
  <c r="J129" i="59" a="1"/>
  <c r="J129" i="59" s="1"/>
  <c r="O124" i="59" a="1"/>
  <c r="O124" i="59" s="1"/>
  <c r="I124" i="59" a="1"/>
  <c r="I124" i="59" s="1"/>
  <c r="K124" i="59" a="1"/>
  <c r="K124" i="59" s="1"/>
  <c r="L124" i="59" a="1"/>
  <c r="L124" i="59" s="1"/>
  <c r="H124" i="59" a="1"/>
  <c r="H124" i="59" s="1"/>
  <c r="J124" i="59" a="1"/>
  <c r="J124" i="59" s="1"/>
  <c r="G124" i="59" a="1"/>
  <c r="G124" i="59" s="1"/>
  <c r="N124" i="59" a="1"/>
  <c r="N124" i="59" s="1"/>
  <c r="M124" i="59" a="1"/>
  <c r="M124" i="59" s="1"/>
  <c r="C162" i="49"/>
  <c r="C729" i="59"/>
  <c r="C222" i="67"/>
  <c r="C274" i="53"/>
  <c r="C982" i="67"/>
  <c r="C350" i="53"/>
  <c r="C485" i="54"/>
  <c r="C815" i="67"/>
  <c r="C690" i="59"/>
  <c r="C312" i="53"/>
  <c r="C555" i="67"/>
  <c r="C110" i="66"/>
  <c r="C110" i="65"/>
  <c r="C807" i="59"/>
  <c r="C593" i="67"/>
  <c r="C769" i="59"/>
  <c r="C407" i="54"/>
  <c r="C846" i="59"/>
  <c r="C885" i="59"/>
  <c r="C254" i="66"/>
  <c r="C261" i="67"/>
  <c r="C137" i="59"/>
  <c r="C399" i="65"/>
  <c r="C446" i="54"/>
  <c r="C367" i="54"/>
  <c r="C255" i="65"/>
  <c r="C783" i="54"/>
  <c r="C543" i="65"/>
  <c r="C242" i="66"/>
  <c r="C834" i="59"/>
  <c r="C434" i="54"/>
  <c r="C150" i="49"/>
  <c r="C262" i="53"/>
  <c r="C873" i="59"/>
  <c r="C531" i="65"/>
  <c r="C338" i="53"/>
  <c r="C98" i="66"/>
  <c r="C355" i="54"/>
  <c r="C210" i="67"/>
  <c r="C717" i="59"/>
  <c r="C243" i="65"/>
  <c r="C125" i="59"/>
  <c r="C581" i="67"/>
  <c r="C803" i="67"/>
  <c r="C757" i="59"/>
  <c r="C395" i="54"/>
  <c r="C249" i="67"/>
  <c r="C678" i="59"/>
  <c r="C387" i="65"/>
  <c r="C795" i="59"/>
  <c r="C543" i="67"/>
  <c r="C473" i="54"/>
  <c r="C300" i="53"/>
  <c r="C970" i="67"/>
  <c r="C771" i="54"/>
  <c r="C98" i="65"/>
  <c r="C89" i="66"/>
  <c r="C291" i="53"/>
  <c r="C748" i="59"/>
  <c r="C669" i="59"/>
  <c r="C794" i="67"/>
  <c r="C762" i="54"/>
  <c r="C329" i="53"/>
  <c r="C708" i="59"/>
  <c r="C378" i="65"/>
  <c r="C141" i="49"/>
  <c r="C961" i="67"/>
  <c r="C864" i="59"/>
  <c r="C233" i="66"/>
  <c r="C253" i="53"/>
  <c r="C425" i="54"/>
  <c r="C786" i="59"/>
  <c r="C522" i="65"/>
  <c r="C825" i="59"/>
  <c r="C386" i="54"/>
  <c r="C346" i="54"/>
  <c r="C464" i="54"/>
  <c r="C116" i="59"/>
  <c r="C572" i="67"/>
  <c r="C201" i="67"/>
  <c r="C240" i="67"/>
  <c r="C234" i="65"/>
  <c r="C534" i="67"/>
  <c r="C89" i="65"/>
  <c r="C88" i="66"/>
  <c r="C707" i="59"/>
  <c r="C233" i="65"/>
  <c r="C328" i="53"/>
  <c r="C345" i="54"/>
  <c r="C463" i="54"/>
  <c r="C824" i="59"/>
  <c r="C424" i="54"/>
  <c r="C960" i="67"/>
  <c r="C200" i="67"/>
  <c r="C239" i="67"/>
  <c r="C863" i="59"/>
  <c r="C377" i="65"/>
  <c r="C115" i="59"/>
  <c r="C252" i="53"/>
  <c r="C785" i="59"/>
  <c r="C232" i="66"/>
  <c r="C747" i="59"/>
  <c r="C761" i="54"/>
  <c r="C571" i="67"/>
  <c r="C793" i="67"/>
  <c r="C385" i="54"/>
  <c r="C521" i="65"/>
  <c r="C533" i="67"/>
  <c r="C290" i="53"/>
  <c r="C668" i="59"/>
  <c r="C88" i="65"/>
  <c r="C140" i="49"/>
  <c r="C344" i="53"/>
  <c r="C104" i="66"/>
  <c r="C801" i="59"/>
  <c r="C393" i="65"/>
  <c r="C156" i="49"/>
  <c r="C723" i="59"/>
  <c r="C306" i="53"/>
  <c r="C248" i="66"/>
  <c r="C549" i="67"/>
  <c r="C809" i="67"/>
  <c r="C840" i="59"/>
  <c r="C777" i="54"/>
  <c r="C131" i="59"/>
  <c r="C976" i="67"/>
  <c r="C401" i="54"/>
  <c r="C763" i="59"/>
  <c r="C879" i="59"/>
  <c r="C255" i="67"/>
  <c r="C268" i="53"/>
  <c r="C249" i="65"/>
  <c r="C361" i="54"/>
  <c r="C479" i="54"/>
  <c r="C587" i="67"/>
  <c r="C216" i="67"/>
  <c r="C104" i="65"/>
  <c r="C440" i="54"/>
  <c r="C684" i="59"/>
  <c r="C537" i="65"/>
  <c r="C440" i="59"/>
  <c r="C757" i="67"/>
  <c r="C725" i="54"/>
  <c r="C635" i="59"/>
  <c r="C315" i="54"/>
  <c r="C145" i="53"/>
  <c r="C221" i="53"/>
  <c r="C126" i="67"/>
  <c r="C89" i="59"/>
  <c r="C108" i="49"/>
  <c r="C352" i="65"/>
  <c r="C197" i="54"/>
  <c r="C930" i="67"/>
  <c r="C499" i="67"/>
  <c r="C479" i="59"/>
  <c r="C208" i="65"/>
  <c r="C557" i="59"/>
  <c r="C519" i="59"/>
  <c r="C63" i="66"/>
  <c r="C596" i="59"/>
  <c r="C276" i="54"/>
  <c r="C496" i="65"/>
  <c r="C183" i="53"/>
  <c r="C461" i="67"/>
  <c r="C237" i="54"/>
  <c r="C165" i="67"/>
  <c r="C207" i="66"/>
  <c r="C63" i="65"/>
  <c r="C553" i="59"/>
  <c r="C203" i="66"/>
  <c r="C495" i="67"/>
  <c r="C272" i="54"/>
  <c r="C926" i="67"/>
  <c r="C217" i="53"/>
  <c r="C204" i="65"/>
  <c r="C348" i="65"/>
  <c r="C104" i="49"/>
  <c r="C233" i="54"/>
  <c r="C631" i="59"/>
  <c r="C193" i="54"/>
  <c r="C457" i="67"/>
  <c r="C141" i="53"/>
  <c r="C59" i="66"/>
  <c r="C179" i="53"/>
  <c r="C59" i="65"/>
  <c r="C753" i="67"/>
  <c r="C475" i="59"/>
  <c r="C161" i="67"/>
  <c r="C85" i="59"/>
  <c r="C311" i="54"/>
  <c r="C515" i="59"/>
  <c r="C436" i="59"/>
  <c r="C492" i="65"/>
  <c r="C122" i="67"/>
  <c r="C592" i="59"/>
  <c r="C721" i="54"/>
  <c r="C736" i="67"/>
  <c r="C255" i="54"/>
  <c r="C440" i="67"/>
  <c r="C536" i="59"/>
  <c r="C87" i="49"/>
  <c r="C614" i="59"/>
  <c r="C478" i="67"/>
  <c r="C704" i="54"/>
  <c r="C331" i="65"/>
  <c r="C176" i="54"/>
  <c r="C909" i="67"/>
  <c r="C458" i="59"/>
  <c r="C498" i="59"/>
  <c r="C42" i="65"/>
  <c r="C186" i="66"/>
  <c r="C294" i="54"/>
  <c r="C200" i="53"/>
  <c r="C124" i="53"/>
  <c r="C42" i="66"/>
  <c r="C162" i="53"/>
  <c r="C419" i="59"/>
  <c r="C475" i="65"/>
  <c r="C575" i="59"/>
  <c r="C187" i="65"/>
  <c r="C68" i="59"/>
  <c r="C144" i="67"/>
  <c r="C216" i="54"/>
  <c r="C105" i="67"/>
  <c r="C493" i="65"/>
  <c r="C458" i="67"/>
  <c r="C516" i="59"/>
  <c r="C273" i="54"/>
  <c r="C476" i="59"/>
  <c r="C593" i="59"/>
  <c r="C162" i="67"/>
  <c r="C234" i="54"/>
  <c r="C312" i="54"/>
  <c r="C722" i="54"/>
  <c r="C180" i="53"/>
  <c r="C927" i="67"/>
  <c r="C205" i="65"/>
  <c r="C554" i="59"/>
  <c r="C60" i="65"/>
  <c r="C437" i="59"/>
  <c r="C105" i="49"/>
  <c r="C194" i="54"/>
  <c r="C496" i="67"/>
  <c r="C349" i="65"/>
  <c r="C86" i="59"/>
  <c r="C142" i="53"/>
  <c r="C123" i="67"/>
  <c r="C204" i="66"/>
  <c r="C632" i="59"/>
  <c r="C60" i="66"/>
  <c r="C754" i="67"/>
  <c r="C218" i="53"/>
  <c r="C180" i="54"/>
  <c r="C618" i="59"/>
  <c r="C204" i="53"/>
  <c r="C482" i="67"/>
  <c r="C444" i="67"/>
  <c r="C166" i="53"/>
  <c r="C191" i="65"/>
  <c r="C259" i="54"/>
  <c r="C72" i="59"/>
  <c r="C46" i="66"/>
  <c r="C335" i="65"/>
  <c r="C462" i="59"/>
  <c r="C740" i="67"/>
  <c r="C190" i="66"/>
  <c r="C423" i="59"/>
  <c r="C479" i="65"/>
  <c r="C128" i="53"/>
  <c r="C148" i="67"/>
  <c r="C298" i="54"/>
  <c r="C502" i="59"/>
  <c r="C91" i="49"/>
  <c r="C708" i="54"/>
  <c r="C579" i="59"/>
  <c r="C109" i="67"/>
  <c r="C46" i="65"/>
  <c r="C913" i="67"/>
  <c r="C540" i="59"/>
  <c r="C220" i="54"/>
  <c r="C388" i="67"/>
  <c r="C181" i="66"/>
  <c r="C326" i="65"/>
  <c r="C250" i="59"/>
  <c r="C182" i="65"/>
  <c r="C113" i="53"/>
  <c r="C470" i="65"/>
  <c r="C90" i="67"/>
  <c r="C688" i="54"/>
  <c r="C75" i="53"/>
  <c r="C127" i="54"/>
  <c r="C290" i="59"/>
  <c r="C720" i="67"/>
  <c r="C367" i="59"/>
  <c r="C211" i="59"/>
  <c r="C37" i="53"/>
  <c r="C75" i="49"/>
  <c r="C48" i="54"/>
  <c r="C51" i="67"/>
  <c r="C426" i="67"/>
  <c r="C899" i="67"/>
  <c r="C37" i="66"/>
  <c r="C166" i="54"/>
  <c r="C88" i="54"/>
  <c r="C37" i="65"/>
  <c r="C328" i="59"/>
  <c r="C62" i="59"/>
  <c r="C406" i="59"/>
  <c r="C48" i="49"/>
  <c r="C263" i="59"/>
  <c r="C86" i="53"/>
  <c r="C48" i="53"/>
  <c r="C21" i="54"/>
  <c r="C443" i="65"/>
  <c r="C301" i="59"/>
  <c r="C155" i="65"/>
  <c r="C361" i="67"/>
  <c r="C872" i="67"/>
  <c r="C154" i="66"/>
  <c r="C661" i="54"/>
  <c r="C299" i="65"/>
  <c r="C61" i="54"/>
  <c r="C35" i="59"/>
  <c r="C10" i="66"/>
  <c r="C184" i="59"/>
  <c r="C399" i="67"/>
  <c r="C139" i="54"/>
  <c r="C379" i="59"/>
  <c r="C100" i="54"/>
  <c r="C24" i="67"/>
  <c r="C693" i="67"/>
  <c r="C340" i="59"/>
  <c r="C10" i="65"/>
  <c r="C63" i="67"/>
  <c r="C223" i="59"/>
  <c r="C10" i="53"/>
  <c r="C401" i="59"/>
  <c r="C46" i="67"/>
  <c r="C465" i="65"/>
  <c r="C362" i="59"/>
  <c r="C32" i="66"/>
  <c r="C285" i="59"/>
  <c r="C383" i="67"/>
  <c r="C421" i="67"/>
  <c r="C122" i="54"/>
  <c r="C161" i="54"/>
  <c r="C43" i="54"/>
  <c r="C83" i="54"/>
  <c r="C176" i="66"/>
  <c r="C32" i="65"/>
  <c r="C323" i="59"/>
  <c r="C70" i="49"/>
  <c r="C108" i="53"/>
  <c r="C57" i="59"/>
  <c r="C177" i="65"/>
  <c r="C321" i="65"/>
  <c r="C85" i="67"/>
  <c r="C683" i="54"/>
  <c r="C32" i="53"/>
  <c r="C206" i="59"/>
  <c r="C245" i="59"/>
  <c r="C894" i="67"/>
  <c r="C715" i="67"/>
  <c r="C70" i="53"/>
  <c r="C47" i="59"/>
  <c r="C373" i="67"/>
  <c r="C75" i="67"/>
  <c r="C22" i="65"/>
  <c r="C166" i="66"/>
  <c r="C33" i="54"/>
  <c r="C311" i="65"/>
  <c r="C22" i="66"/>
  <c r="C73" i="54"/>
  <c r="C196" i="59"/>
  <c r="C673" i="54"/>
  <c r="C705" i="67"/>
  <c r="C235" i="59"/>
  <c r="C313" i="59"/>
  <c r="C60" i="49"/>
  <c r="C884" i="67"/>
  <c r="C22" i="53"/>
  <c r="C112" i="54"/>
  <c r="C36" i="67"/>
  <c r="C455" i="65"/>
  <c r="C411" i="67"/>
  <c r="C391" i="59"/>
  <c r="C167" i="65"/>
  <c r="C60" i="53"/>
  <c r="C275" i="59"/>
  <c r="C151" i="54"/>
  <c r="C98" i="53"/>
  <c r="C352" i="59"/>
  <c r="H54" i="59" a="1"/>
  <c r="H54" i="59" s="1"/>
  <c r="L54" i="59" a="1"/>
  <c r="L54" i="59" s="1"/>
  <c r="J54" i="59" a="1"/>
  <c r="J54" i="59" s="1"/>
  <c r="O54" i="59" a="1"/>
  <c r="O54" i="59" s="1"/>
  <c r="K54" i="59" a="1"/>
  <c r="K54" i="59" s="1"/>
  <c r="I54" i="59" a="1"/>
  <c r="I54" i="59" s="1"/>
  <c r="M54" i="59" a="1"/>
  <c r="M54" i="59" s="1"/>
  <c r="G54" i="59" a="1"/>
  <c r="G54" i="59" s="1"/>
  <c r="N54" i="59" a="1"/>
  <c r="N54" i="59" s="1"/>
  <c r="H61" i="59" a="1"/>
  <c r="H61" i="59" s="1"/>
  <c r="N61" i="59" a="1"/>
  <c r="N61" i="59" s="1"/>
  <c r="O61" i="59" a="1"/>
  <c r="O61" i="59" s="1"/>
  <c r="I61" i="59" a="1"/>
  <c r="I61" i="59" s="1"/>
  <c r="J61" i="59" a="1"/>
  <c r="J61" i="59" s="1"/>
  <c r="M61" i="59" a="1"/>
  <c r="M61" i="59" s="1"/>
  <c r="L61" i="59" a="1"/>
  <c r="L61" i="59" s="1"/>
  <c r="G61" i="59" a="1"/>
  <c r="G61" i="59" s="1"/>
  <c r="K61" i="59" a="1"/>
  <c r="K61" i="59" s="1"/>
  <c r="O45" i="59" a="1"/>
  <c r="O45" i="59" s="1"/>
  <c r="I45" i="59" a="1"/>
  <c r="I45" i="59" s="1"/>
  <c r="J45" i="59" a="1"/>
  <c r="J45" i="59" s="1"/>
  <c r="M45" i="59" a="1"/>
  <c r="M45" i="59" s="1"/>
  <c r="K45" i="59" a="1"/>
  <c r="K45" i="59" s="1"/>
  <c r="H45" i="59" a="1"/>
  <c r="H45" i="59" s="1"/>
  <c r="N45" i="59" a="1"/>
  <c r="N45" i="59" s="1"/>
  <c r="G45" i="59" a="1"/>
  <c r="G45" i="59" s="1"/>
  <c r="L45" i="59" a="1"/>
  <c r="L45" i="59" s="1"/>
  <c r="K63" i="59" a="1"/>
  <c r="K63" i="59" s="1"/>
  <c r="J63" i="59" a="1"/>
  <c r="J63" i="59" s="1"/>
  <c r="M63" i="59" a="1"/>
  <c r="M63" i="59" s="1"/>
  <c r="G63" i="59" a="1"/>
  <c r="G63" i="59" s="1"/>
  <c r="L63" i="59" a="1"/>
  <c r="L63" i="59" s="1"/>
  <c r="I63" i="59" a="1"/>
  <c r="I63" i="59" s="1"/>
  <c r="N63" i="59" a="1"/>
  <c r="N63" i="59" s="1"/>
  <c r="H63" i="59" a="1"/>
  <c r="H63" i="59" s="1"/>
  <c r="O63" i="59" a="1"/>
  <c r="O63" i="59" s="1"/>
  <c r="J56" i="59" a="1"/>
  <c r="J56" i="59" s="1"/>
  <c r="G56" i="59" a="1"/>
  <c r="G56" i="59" s="1"/>
  <c r="O56" i="59" a="1"/>
  <c r="O56" i="59" s="1"/>
  <c r="I56" i="59" a="1"/>
  <c r="I56" i="59" s="1"/>
  <c r="N56" i="59" a="1"/>
  <c r="N56" i="59" s="1"/>
  <c r="L56" i="59" a="1"/>
  <c r="L56" i="59" s="1"/>
  <c r="H56" i="59" a="1"/>
  <c r="H56" i="59" s="1"/>
  <c r="M56" i="59" a="1"/>
  <c r="M56" i="59" s="1"/>
  <c r="K56" i="59" a="1"/>
  <c r="K56" i="59" s="1"/>
  <c r="K172" i="59" a="1"/>
  <c r="K172" i="59" s="1"/>
  <c r="N172" i="59" a="1"/>
  <c r="N172" i="59" s="1"/>
  <c r="J172" i="59" a="1"/>
  <c r="J172" i="59" s="1"/>
  <c r="I172" i="59" a="1"/>
  <c r="I172" i="59" s="1"/>
  <c r="M172" i="59" a="1"/>
  <c r="M172" i="59" s="1"/>
  <c r="H172" i="59" a="1"/>
  <c r="H172" i="59" s="1"/>
  <c r="G172" i="59" a="1"/>
  <c r="G172" i="59" s="1"/>
  <c r="L172" i="59" a="1"/>
  <c r="L172" i="59" s="1"/>
  <c r="O172" i="59" a="1"/>
  <c r="O172" i="59" s="1"/>
  <c r="K159" i="59" a="1"/>
  <c r="K159" i="59" s="1"/>
  <c r="G159" i="59" a="1"/>
  <c r="G159" i="59" s="1"/>
  <c r="N159" i="59" a="1"/>
  <c r="N159" i="59" s="1"/>
  <c r="M159" i="59" a="1"/>
  <c r="M159" i="59" s="1"/>
  <c r="I159" i="59" a="1"/>
  <c r="I159" i="59" s="1"/>
  <c r="J159" i="59" a="1"/>
  <c r="J159" i="59" s="1"/>
  <c r="L159" i="59" a="1"/>
  <c r="L159" i="59" s="1"/>
  <c r="O159" i="59" a="1"/>
  <c r="O159" i="59" s="1"/>
  <c r="H159" i="59" a="1"/>
  <c r="H159" i="59" s="1"/>
  <c r="I143" i="59" a="1"/>
  <c r="I143" i="59" s="1"/>
  <c r="L143" i="59" a="1"/>
  <c r="L143" i="59" s="1"/>
  <c r="O143" i="59" a="1"/>
  <c r="O143" i="59" s="1"/>
  <c r="J143" i="59" a="1"/>
  <c r="J143" i="59" s="1"/>
  <c r="G143" i="59" a="1"/>
  <c r="G143" i="59" s="1"/>
  <c r="K143" i="59" a="1"/>
  <c r="K143" i="59" s="1"/>
  <c r="M143" i="59" a="1"/>
  <c r="M143" i="59" s="1"/>
  <c r="N143" i="59" a="1"/>
  <c r="N143" i="59" s="1"/>
  <c r="H143" i="59" a="1"/>
  <c r="H143" i="59" s="1"/>
  <c r="M170" i="59" a="1"/>
  <c r="M170" i="59" s="1"/>
  <c r="K170" i="59" a="1"/>
  <c r="K170" i="59" s="1"/>
  <c r="G170" i="59" a="1"/>
  <c r="G170" i="59" s="1"/>
  <c r="N170" i="59" a="1"/>
  <c r="N170" i="59" s="1"/>
  <c r="L170" i="59" a="1"/>
  <c r="L170" i="59" s="1"/>
  <c r="O170" i="59" a="1"/>
  <c r="O170" i="59" s="1"/>
  <c r="H170" i="59" a="1"/>
  <c r="H170" i="59" s="1"/>
  <c r="J170" i="59" a="1"/>
  <c r="J170" i="59" s="1"/>
  <c r="I170" i="59" a="1"/>
  <c r="I170" i="59" s="1"/>
  <c r="M82" i="59" a="1"/>
  <c r="M82" i="59" s="1"/>
  <c r="O82" i="59" a="1"/>
  <c r="O82" i="59" s="1"/>
  <c r="K82" i="59" a="1"/>
  <c r="K82" i="59" s="1"/>
  <c r="G82" i="59" a="1"/>
  <c r="G82" i="59" s="1"/>
  <c r="I82" i="59" a="1"/>
  <c r="I82" i="59" s="1"/>
  <c r="H82" i="59" a="1"/>
  <c r="H82" i="59" s="1"/>
  <c r="J82" i="59" a="1"/>
  <c r="J82" i="59" s="1"/>
  <c r="L82" i="59" a="1"/>
  <c r="L82" i="59" s="1"/>
  <c r="N82" i="59" a="1"/>
  <c r="N82" i="59" s="1"/>
  <c r="K94" i="59" a="1"/>
  <c r="K94" i="59" s="1"/>
  <c r="O94" i="59" a="1"/>
  <c r="O94" i="59" s="1"/>
  <c r="G94" i="59" a="1"/>
  <c r="G94" i="59" s="1"/>
  <c r="H94" i="59" a="1"/>
  <c r="H94" i="59" s="1"/>
  <c r="I94" i="59" a="1"/>
  <c r="I94" i="59" s="1"/>
  <c r="N94" i="59" a="1"/>
  <c r="N94" i="59" s="1"/>
  <c r="M94" i="59" a="1"/>
  <c r="M94" i="59" s="1"/>
  <c r="L94" i="59" a="1"/>
  <c r="L94" i="59" s="1"/>
  <c r="J94" i="59" a="1"/>
  <c r="J94" i="59" s="1"/>
  <c r="M81" i="59" a="1"/>
  <c r="M81" i="59" s="1"/>
  <c r="K81" i="59" a="1"/>
  <c r="K81" i="59" s="1"/>
  <c r="O81" i="59" a="1"/>
  <c r="O81" i="59" s="1"/>
  <c r="I81" i="59" a="1"/>
  <c r="I81" i="59" s="1"/>
  <c r="G81" i="59" a="1"/>
  <c r="G81" i="59" s="1"/>
  <c r="N81" i="59" a="1"/>
  <c r="N81" i="59" s="1"/>
  <c r="L81" i="59" a="1"/>
  <c r="L81" i="59" s="1"/>
  <c r="J81" i="59" a="1"/>
  <c r="J81" i="59" s="1"/>
  <c r="H81" i="59" a="1"/>
  <c r="H81" i="59" s="1"/>
  <c r="N87" i="59" a="1"/>
  <c r="N87" i="59" s="1"/>
  <c r="K87" i="59" a="1"/>
  <c r="K87" i="59" s="1"/>
  <c r="M87" i="59" a="1"/>
  <c r="M87" i="59" s="1"/>
  <c r="I87" i="59" a="1"/>
  <c r="I87" i="59" s="1"/>
  <c r="H87" i="59" a="1"/>
  <c r="H87" i="59" s="1"/>
  <c r="O87" i="59" a="1"/>
  <c r="O87" i="59" s="1"/>
  <c r="J87" i="59" a="1"/>
  <c r="J87" i="59" s="1"/>
  <c r="G87" i="59" a="1"/>
  <c r="G87" i="59" s="1"/>
  <c r="L87" i="59" a="1"/>
  <c r="L87" i="59" s="1"/>
  <c r="H95" i="59" a="1"/>
  <c r="H95" i="59" s="1"/>
  <c r="G95" i="59" a="1"/>
  <c r="G95" i="59" s="1"/>
  <c r="I95" i="59" a="1"/>
  <c r="I95" i="59" s="1"/>
  <c r="M95" i="59" a="1"/>
  <c r="M95" i="59" s="1"/>
  <c r="L95" i="59" a="1"/>
  <c r="L95" i="59" s="1"/>
  <c r="O95" i="59" a="1"/>
  <c r="O95" i="59" s="1"/>
  <c r="K95" i="59" a="1"/>
  <c r="K95" i="59" s="1"/>
  <c r="J95" i="59" a="1"/>
  <c r="J95" i="59" s="1"/>
  <c r="N95" i="59" a="1"/>
  <c r="N95" i="59" s="1"/>
  <c r="J114" i="59" a="1"/>
  <c r="J114" i="59" s="1"/>
  <c r="L114" i="59" a="1"/>
  <c r="L114" i="59" s="1"/>
  <c r="I114" i="59" a="1"/>
  <c r="I114" i="59" s="1"/>
  <c r="H114" i="59" a="1"/>
  <c r="H114" i="59" s="1"/>
  <c r="G114" i="59" a="1"/>
  <c r="G114" i="59" s="1"/>
  <c r="M114" i="59" a="1"/>
  <c r="M114" i="59" s="1"/>
  <c r="N114" i="59" a="1"/>
  <c r="N114" i="59" s="1"/>
  <c r="O114" i="59" a="1"/>
  <c r="O114" i="59" s="1"/>
  <c r="K114" i="59" a="1"/>
  <c r="K114" i="59" s="1"/>
  <c r="O110" i="59" a="1"/>
  <c r="O110" i="59" s="1"/>
  <c r="M110" i="59" a="1"/>
  <c r="M110" i="59" s="1"/>
  <c r="K110" i="59" a="1"/>
  <c r="K110" i="59" s="1"/>
  <c r="G110" i="59" a="1"/>
  <c r="G110" i="59" s="1"/>
  <c r="I110" i="59" a="1"/>
  <c r="I110" i="59" s="1"/>
  <c r="H110" i="59" a="1"/>
  <c r="H110" i="59" s="1"/>
  <c r="L110" i="59" a="1"/>
  <c r="L110" i="59" s="1"/>
  <c r="J110" i="59" a="1"/>
  <c r="J110" i="59" s="1"/>
  <c r="N110" i="59" a="1"/>
  <c r="N110" i="59" s="1"/>
  <c r="M104" i="59" a="1"/>
  <c r="M104" i="59" s="1"/>
  <c r="L104" i="59" a="1"/>
  <c r="L104" i="59" s="1"/>
  <c r="K104" i="59" a="1"/>
  <c r="K104" i="59" s="1"/>
  <c r="N104" i="59" a="1"/>
  <c r="N104" i="59" s="1"/>
  <c r="I104" i="59" a="1"/>
  <c r="I104" i="59" s="1"/>
  <c r="G104" i="59" a="1"/>
  <c r="G104" i="59" s="1"/>
  <c r="O104" i="59" a="1"/>
  <c r="O104" i="59" s="1"/>
  <c r="H104" i="59" a="1"/>
  <c r="H104" i="59" s="1"/>
  <c r="J104" i="59" a="1"/>
  <c r="J104" i="59" s="1"/>
  <c r="J134" i="59" a="1"/>
  <c r="J134" i="59" s="1"/>
  <c r="K134" i="59" a="1"/>
  <c r="K134" i="59" s="1"/>
  <c r="H134" i="59" a="1"/>
  <c r="H134" i="59" s="1"/>
  <c r="N134" i="59" a="1"/>
  <c r="N134" i="59" s="1"/>
  <c r="L134" i="59" a="1"/>
  <c r="L134" i="59" s="1"/>
  <c r="G134" i="59" a="1"/>
  <c r="G134" i="59" s="1"/>
  <c r="I134" i="59" a="1"/>
  <c r="I134" i="59" s="1"/>
  <c r="O134" i="59" a="1"/>
  <c r="O134" i="59" s="1"/>
  <c r="M134" i="59" a="1"/>
  <c r="M134" i="59" s="1"/>
  <c r="C810" i="67"/>
  <c r="C256" i="67"/>
  <c r="C685" i="59"/>
  <c r="C764" i="59"/>
  <c r="C249" i="66"/>
  <c r="C307" i="53"/>
  <c r="C441" i="54"/>
  <c r="C157" i="49"/>
  <c r="C588" i="67"/>
  <c r="C362" i="54"/>
  <c r="C977" i="67"/>
  <c r="C841" i="59"/>
  <c r="C538" i="65"/>
  <c r="C394" i="65"/>
  <c r="C217" i="67"/>
  <c r="C345" i="53"/>
  <c r="C480" i="54"/>
  <c r="C880" i="59"/>
  <c r="C802" i="59"/>
  <c r="C778" i="54"/>
  <c r="C402" i="54"/>
  <c r="C105" i="66"/>
  <c r="C105" i="65"/>
  <c r="C250" i="65"/>
  <c r="C132" i="59"/>
  <c r="C269" i="53"/>
  <c r="C724" i="59"/>
  <c r="C550" i="67"/>
  <c r="C544" i="67"/>
  <c r="C679" i="59"/>
  <c r="C532" i="65"/>
  <c r="C250" i="67"/>
  <c r="C718" i="59"/>
  <c r="C772" i="54"/>
  <c r="C301" i="53"/>
  <c r="C388" i="65"/>
  <c r="C396" i="54"/>
  <c r="C474" i="54"/>
  <c r="C435" i="54"/>
  <c r="C874" i="59"/>
  <c r="C971" i="67"/>
  <c r="C243" i="66"/>
  <c r="C244" i="65"/>
  <c r="C99" i="65"/>
  <c r="C582" i="67"/>
  <c r="C804" i="67"/>
  <c r="C126" i="59"/>
  <c r="C758" i="59"/>
  <c r="C99" i="66"/>
  <c r="C796" i="59"/>
  <c r="C339" i="53"/>
  <c r="C211" i="67"/>
  <c r="C151" i="49"/>
  <c r="C835" i="59"/>
  <c r="C356" i="54"/>
  <c r="C263" i="53"/>
  <c r="C108" i="65"/>
  <c r="C805" i="59"/>
  <c r="C252" i="66"/>
  <c r="C220" i="67"/>
  <c r="C259" i="67"/>
  <c r="C541" i="65"/>
  <c r="C397" i="65"/>
  <c r="C160" i="49"/>
  <c r="C980" i="67"/>
  <c r="C348" i="53"/>
  <c r="C108" i="66"/>
  <c r="C365" i="54"/>
  <c r="C767" i="59"/>
  <c r="C591" i="67"/>
  <c r="C483" i="54"/>
  <c r="C253" i="65"/>
  <c r="C844" i="59"/>
  <c r="C813" i="67"/>
  <c r="C310" i="53"/>
  <c r="C688" i="59"/>
  <c r="C135" i="59"/>
  <c r="C444" i="54"/>
  <c r="C883" i="59"/>
  <c r="C727" i="59"/>
  <c r="C272" i="53"/>
  <c r="C781" i="54"/>
  <c r="C553" i="67"/>
  <c r="C405" i="54"/>
  <c r="C111" i="66"/>
  <c r="C447" i="54"/>
  <c r="C223" i="67"/>
  <c r="C262" i="67"/>
  <c r="C408" i="54"/>
  <c r="C770" i="59"/>
  <c r="C400" i="65"/>
  <c r="C847" i="59"/>
  <c r="C255" i="66"/>
  <c r="C983" i="67"/>
  <c r="C313" i="53"/>
  <c r="C816" i="67"/>
  <c r="C275" i="53"/>
  <c r="C256" i="65"/>
  <c r="C111" i="65"/>
  <c r="C730" i="59"/>
  <c r="C163" i="49"/>
  <c r="C368" i="54"/>
  <c r="C886" i="59"/>
  <c r="C351" i="53"/>
  <c r="C138" i="59"/>
  <c r="C691" i="59"/>
  <c r="C784" i="54"/>
  <c r="C544" i="65"/>
  <c r="C808" i="59"/>
  <c r="C594" i="67"/>
  <c r="C556" i="67"/>
  <c r="C486" i="54"/>
  <c r="C456" i="54"/>
  <c r="C245" i="53"/>
  <c r="C338" i="54"/>
  <c r="C778" i="59"/>
  <c r="C740" i="59"/>
  <c r="C514" i="65"/>
  <c r="C81" i="66"/>
  <c r="C856" i="59"/>
  <c r="C232" i="67"/>
  <c r="C283" i="53"/>
  <c r="C108" i="59"/>
  <c r="C370" i="65"/>
  <c r="C661" i="59"/>
  <c r="C786" i="67"/>
  <c r="C193" i="67"/>
  <c r="C81" i="65"/>
  <c r="C953" i="67"/>
  <c r="C321" i="53"/>
  <c r="C417" i="54"/>
  <c r="C817" i="59"/>
  <c r="C526" i="67"/>
  <c r="C133" i="49"/>
  <c r="C564" i="67"/>
  <c r="C378" i="54"/>
  <c r="C754" i="54"/>
  <c r="C225" i="66"/>
  <c r="C226" i="65"/>
  <c r="C700" i="59"/>
  <c r="C441" i="59"/>
  <c r="C209" i="65"/>
  <c r="C146" i="53"/>
  <c r="C353" i="65"/>
  <c r="C597" i="59"/>
  <c r="C184" i="53"/>
  <c r="C931" i="67"/>
  <c r="C109" i="49"/>
  <c r="C497" i="65"/>
  <c r="C222" i="53"/>
  <c r="C480" i="59"/>
  <c r="C636" i="59"/>
  <c r="C127" i="67"/>
  <c r="C316" i="54"/>
  <c r="C64" i="66"/>
  <c r="C758" i="67"/>
  <c r="C238" i="54"/>
  <c r="C277" i="54"/>
  <c r="C558" i="59"/>
  <c r="C90" i="59"/>
  <c r="C64" i="65"/>
  <c r="C166" i="67"/>
  <c r="C520" i="59"/>
  <c r="C500" i="67"/>
  <c r="C726" i="54"/>
  <c r="C462" i="67"/>
  <c r="C198" i="54"/>
  <c r="C208" i="66"/>
  <c r="C642" i="59"/>
  <c r="C526" i="59"/>
  <c r="C214" i="66"/>
  <c r="C359" i="65"/>
  <c r="C70" i="66"/>
  <c r="C215" i="65"/>
  <c r="C506" i="67"/>
  <c r="C228" i="53"/>
  <c r="C322" i="54"/>
  <c r="C564" i="59"/>
  <c r="C244" i="54"/>
  <c r="C764" i="67"/>
  <c r="C96" i="59"/>
  <c r="C70" i="65"/>
  <c r="C133" i="67"/>
  <c r="C115" i="49"/>
  <c r="C937" i="67"/>
  <c r="C152" i="53"/>
  <c r="C190" i="53"/>
  <c r="C503" i="65"/>
  <c r="C172" i="67"/>
  <c r="C447" i="59"/>
  <c r="C486" i="59"/>
  <c r="C283" i="54"/>
  <c r="C204" i="54"/>
  <c r="C732" i="54"/>
  <c r="C468" i="67"/>
  <c r="C603" i="59"/>
  <c r="C263" i="54"/>
  <c r="C184" i="54"/>
  <c r="C483" i="65"/>
  <c r="C744" i="67"/>
  <c r="C339" i="65"/>
  <c r="C208" i="53"/>
  <c r="C302" i="54"/>
  <c r="C583" i="59"/>
  <c r="C152" i="67"/>
  <c r="C448" i="67"/>
  <c r="C113" i="67"/>
  <c r="C50" i="66"/>
  <c r="C466" i="59"/>
  <c r="C50" i="65"/>
  <c r="C427" i="59"/>
  <c r="C486" i="67"/>
  <c r="C622" i="59"/>
  <c r="C917" i="67"/>
  <c r="C170" i="53"/>
  <c r="C195" i="65"/>
  <c r="C95" i="49"/>
  <c r="C76" i="59"/>
  <c r="C224" i="54"/>
  <c r="C712" i="54"/>
  <c r="C506" i="59"/>
  <c r="C544" i="59"/>
  <c r="C194" i="66"/>
  <c r="C132" i="53"/>
  <c r="C738" i="54"/>
  <c r="C289" i="54"/>
  <c r="C76" i="66"/>
  <c r="C943" i="67"/>
  <c r="C492" i="59"/>
  <c r="C196" i="53"/>
  <c r="C234" i="53"/>
  <c r="C648" i="59"/>
  <c r="C509" i="65"/>
  <c r="C178" i="67"/>
  <c r="C221" i="65"/>
  <c r="C250" i="54"/>
  <c r="C512" i="67"/>
  <c r="C328" i="54"/>
  <c r="C365" i="65"/>
  <c r="C220" i="66"/>
  <c r="C609" i="59"/>
  <c r="C770" i="67"/>
  <c r="C210" i="54"/>
  <c r="C570" i="59"/>
  <c r="C532" i="59"/>
  <c r="C474" i="67"/>
  <c r="C453" i="59"/>
  <c r="C121" i="49"/>
  <c r="C158" i="53"/>
  <c r="C139" i="67"/>
  <c r="C102" i="59"/>
  <c r="C76" i="65"/>
  <c r="C49" i="67"/>
  <c r="C324" i="65"/>
  <c r="C60" i="59"/>
  <c r="C365" i="59"/>
  <c r="C35" i="53"/>
  <c r="C88" i="67"/>
  <c r="C86" i="54"/>
  <c r="C686" i="54"/>
  <c r="C73" i="49"/>
  <c r="C46" i="54"/>
  <c r="C125" i="54"/>
  <c r="C209" i="59"/>
  <c r="C179" i="66"/>
  <c r="C386" i="67"/>
  <c r="C180" i="65"/>
  <c r="C35" i="66"/>
  <c r="C73" i="53"/>
  <c r="C404" i="59"/>
  <c r="C111" i="53"/>
  <c r="C718" i="67"/>
  <c r="C288" i="59"/>
  <c r="C326" i="59"/>
  <c r="C468" i="65"/>
  <c r="C897" i="67"/>
  <c r="C164" i="54"/>
  <c r="C35" i="65"/>
  <c r="C248" i="59"/>
  <c r="C424" i="67"/>
  <c r="C21" i="53"/>
  <c r="C372" i="67"/>
  <c r="C111" i="54"/>
  <c r="C390" i="59"/>
  <c r="C97" i="53"/>
  <c r="C195" i="59"/>
  <c r="C21" i="66"/>
  <c r="C72" i="54"/>
  <c r="C74" i="67"/>
  <c r="C59" i="53"/>
  <c r="C166" i="65"/>
  <c r="C454" i="65"/>
  <c r="C310" i="65"/>
  <c r="C410" i="67"/>
  <c r="C150" i="54"/>
  <c r="C21" i="65"/>
  <c r="C165" i="66"/>
  <c r="C351" i="59"/>
  <c r="C32" i="54"/>
  <c r="C883" i="67"/>
  <c r="C704" i="67"/>
  <c r="C274" i="59"/>
  <c r="C672" i="54"/>
  <c r="C35" i="67"/>
  <c r="C59" i="49"/>
  <c r="C46" i="59"/>
  <c r="C312" i="59"/>
  <c r="C234" i="59"/>
  <c r="C173" i="65"/>
  <c r="C157" i="54"/>
  <c r="C104" i="53"/>
  <c r="C172" i="66"/>
  <c r="C28" i="65"/>
  <c r="C890" i="67"/>
  <c r="C317" i="65"/>
  <c r="C417" i="67"/>
  <c r="C66" i="53"/>
  <c r="C28" i="53"/>
  <c r="C679" i="54"/>
  <c r="C397" i="59"/>
  <c r="C379" i="67"/>
  <c r="C281" i="59"/>
  <c r="C711" i="67"/>
  <c r="C202" i="59"/>
  <c r="C39" i="54"/>
  <c r="C241" i="59"/>
  <c r="C81" i="67"/>
  <c r="C118" i="54"/>
  <c r="C461" i="65"/>
  <c r="C319" i="59"/>
  <c r="C79" i="54"/>
  <c r="C66" i="49"/>
  <c r="C358" i="59"/>
  <c r="C53" i="59"/>
  <c r="C28" i="66"/>
  <c r="C42" i="67"/>
  <c r="C45" i="54"/>
  <c r="C287" i="59"/>
  <c r="C403" i="59"/>
  <c r="C87" i="67"/>
  <c r="C467" i="65"/>
  <c r="C896" i="67"/>
  <c r="C685" i="54"/>
  <c r="C364" i="59"/>
  <c r="C323" i="65"/>
  <c r="C59" i="59"/>
  <c r="C72" i="49"/>
  <c r="C34" i="66"/>
  <c r="C179" i="65"/>
  <c r="C85" i="54"/>
  <c r="C178" i="66"/>
  <c r="C72" i="53"/>
  <c r="C163" i="54"/>
  <c r="C208" i="59"/>
  <c r="C247" i="59"/>
  <c r="C48" i="67"/>
  <c r="C110" i="53"/>
  <c r="C34" i="53"/>
  <c r="C385" i="67"/>
  <c r="C717" i="67"/>
  <c r="C124" i="54"/>
  <c r="C325" i="59"/>
  <c r="C423" i="67"/>
  <c r="C34" i="65"/>
  <c r="N59" i="59" a="1"/>
  <c r="N59" i="59" s="1"/>
  <c r="M59" i="59" a="1"/>
  <c r="M59" i="59" s="1"/>
  <c r="I59" i="59" a="1"/>
  <c r="I59" i="59" s="1"/>
  <c r="K59" i="59" a="1"/>
  <c r="K59" i="59" s="1"/>
  <c r="J59" i="59" a="1"/>
  <c r="J59" i="59" s="1"/>
  <c r="G59" i="59" a="1"/>
  <c r="G59" i="59" s="1"/>
  <c r="L59" i="59" a="1"/>
  <c r="L59" i="59" s="1"/>
  <c r="H59" i="59" a="1"/>
  <c r="H59" i="59" s="1"/>
  <c r="O59" i="59" a="1"/>
  <c r="O59" i="59" s="1"/>
  <c r="L34" i="59" a="1"/>
  <c r="L34" i="59" s="1"/>
  <c r="M34" i="59" a="1"/>
  <c r="M34" i="59" s="1"/>
  <c r="H34" i="59" a="1"/>
  <c r="H34" i="59" s="1"/>
  <c r="G34" i="59" a="1"/>
  <c r="G34" i="59" s="1"/>
  <c r="N34" i="59" a="1"/>
  <c r="N34" i="59" s="1"/>
  <c r="I34" i="59" a="1"/>
  <c r="I34" i="59" s="1"/>
  <c r="O34" i="59" a="1"/>
  <c r="O34" i="59" s="1"/>
  <c r="K34" i="59" a="1"/>
  <c r="K34" i="59" s="1"/>
  <c r="J34" i="59" a="1"/>
  <c r="J34" i="59" s="1"/>
  <c r="L57" i="59" a="1"/>
  <c r="L57" i="59" s="1"/>
  <c r="O57" i="59" a="1"/>
  <c r="O57" i="59" s="1"/>
  <c r="G57" i="59" a="1"/>
  <c r="G57" i="59" s="1"/>
  <c r="I57" i="59" a="1"/>
  <c r="I57" i="59" s="1"/>
  <c r="J57" i="59" a="1"/>
  <c r="J57" i="59" s="1"/>
  <c r="K57" i="59" a="1"/>
  <c r="K57" i="59" s="1"/>
  <c r="N57" i="59" a="1"/>
  <c r="N57" i="59" s="1"/>
  <c r="M57" i="59" a="1"/>
  <c r="M57" i="59" s="1"/>
  <c r="H57" i="59" a="1"/>
  <c r="H57" i="59" s="1"/>
  <c r="L62" i="59" a="1"/>
  <c r="L62" i="59" s="1"/>
  <c r="K62" i="59" a="1"/>
  <c r="K62" i="59" s="1"/>
  <c r="G62" i="59" a="1"/>
  <c r="G62" i="59" s="1"/>
  <c r="M62" i="59" a="1"/>
  <c r="M62" i="59" s="1"/>
  <c r="J62" i="59" a="1"/>
  <c r="J62" i="59" s="1"/>
  <c r="O62" i="59" a="1"/>
  <c r="O62" i="59" s="1"/>
  <c r="H62" i="59" a="1"/>
  <c r="H62" i="59" s="1"/>
  <c r="N62" i="59" a="1"/>
  <c r="N62" i="59" s="1"/>
  <c r="I62" i="59" a="1"/>
  <c r="I62" i="59" s="1"/>
  <c r="L35" i="59" a="1"/>
  <c r="L35" i="59" s="1"/>
  <c r="M35" i="59" a="1"/>
  <c r="M35" i="59" s="1"/>
  <c r="G35" i="59" a="1"/>
  <c r="G35" i="59" s="1"/>
  <c r="O35" i="59" a="1"/>
  <c r="O35" i="59" s="1"/>
  <c r="I35" i="59" a="1"/>
  <c r="I35" i="59" s="1"/>
  <c r="N35" i="59" a="1"/>
  <c r="N35" i="59" s="1"/>
  <c r="K35" i="59" a="1"/>
  <c r="K35" i="59" s="1"/>
  <c r="J35" i="59" a="1"/>
  <c r="J35" i="59" s="1"/>
  <c r="H35" i="59" a="1"/>
  <c r="H35" i="59" s="1"/>
  <c r="J145" i="59" a="1"/>
  <c r="J145" i="59" s="1"/>
  <c r="H145" i="59" a="1"/>
  <c r="H145" i="59" s="1"/>
  <c r="G145" i="59" a="1"/>
  <c r="G145" i="59" s="1"/>
  <c r="O145" i="59" a="1"/>
  <c r="O145" i="59" s="1"/>
  <c r="I145" i="59" a="1"/>
  <c r="I145" i="59" s="1"/>
  <c r="N145" i="59" a="1"/>
  <c r="N145" i="59" s="1"/>
  <c r="L145" i="59" a="1"/>
  <c r="L145" i="59" s="1"/>
  <c r="K145" i="59" a="1"/>
  <c r="K145" i="59" s="1"/>
  <c r="M145" i="59" a="1"/>
  <c r="M145" i="59" s="1"/>
  <c r="K173" i="59" a="1"/>
  <c r="K173" i="59" s="1"/>
  <c r="N173" i="59" a="1"/>
  <c r="N173" i="59" s="1"/>
  <c r="M173" i="59" a="1"/>
  <c r="M173" i="59" s="1"/>
  <c r="H173" i="59" a="1"/>
  <c r="H173" i="59" s="1"/>
  <c r="J173" i="59" a="1"/>
  <c r="J173" i="59" s="1"/>
  <c r="I173" i="59" a="1"/>
  <c r="I173" i="59" s="1"/>
  <c r="L173" i="59" a="1"/>
  <c r="L173" i="59" s="1"/>
  <c r="O173" i="59" a="1"/>
  <c r="O173" i="59" s="1"/>
  <c r="G173" i="59" a="1"/>
  <c r="G173" i="59" s="1"/>
  <c r="G157" i="59" a="1"/>
  <c r="G157" i="59" s="1"/>
  <c r="H157" i="59" a="1"/>
  <c r="H157" i="59" s="1"/>
  <c r="M157" i="59" a="1"/>
  <c r="M157" i="59" s="1"/>
  <c r="O157" i="59" a="1"/>
  <c r="O157" i="59" s="1"/>
  <c r="L157" i="59" a="1"/>
  <c r="L157" i="59" s="1"/>
  <c r="I157" i="59" a="1"/>
  <c r="I157" i="59" s="1"/>
  <c r="K157" i="59" a="1"/>
  <c r="K157" i="59" s="1"/>
  <c r="J157" i="59" a="1"/>
  <c r="J157" i="59" s="1"/>
  <c r="N157" i="59" a="1"/>
  <c r="N157" i="59" s="1"/>
  <c r="I146" i="59" a="1"/>
  <c r="I146" i="59" s="1"/>
  <c r="L146" i="59" a="1"/>
  <c r="L146" i="59" s="1"/>
  <c r="H146" i="59" a="1"/>
  <c r="H146" i="59" s="1"/>
  <c r="N146" i="59" a="1"/>
  <c r="N146" i="59" s="1"/>
  <c r="J146" i="59" a="1"/>
  <c r="J146" i="59" s="1"/>
  <c r="O146" i="59" a="1"/>
  <c r="O146" i="59" s="1"/>
  <c r="G146" i="59" a="1"/>
  <c r="G146" i="59" s="1"/>
  <c r="M146" i="59" a="1"/>
  <c r="M146" i="59" s="1"/>
  <c r="K146" i="59" a="1"/>
  <c r="K146" i="59" s="1"/>
  <c r="I71" i="59" a="1"/>
  <c r="I71" i="59" s="1"/>
  <c r="O71" i="59" a="1"/>
  <c r="O71" i="59" s="1"/>
  <c r="J71" i="59" a="1"/>
  <c r="J71" i="59" s="1"/>
  <c r="H71" i="59" a="1"/>
  <c r="H71" i="59" s="1"/>
  <c r="N71" i="59" a="1"/>
  <c r="N71" i="59" s="1"/>
  <c r="G71" i="59" a="1"/>
  <c r="G71" i="59" s="1"/>
  <c r="L71" i="59" a="1"/>
  <c r="L71" i="59" s="1"/>
  <c r="K71" i="59" a="1"/>
  <c r="K71" i="59" s="1"/>
  <c r="M71" i="59" a="1"/>
  <c r="M71" i="59" s="1"/>
  <c r="M69" i="59" a="1"/>
  <c r="M69" i="59" s="1"/>
  <c r="N69" i="59" a="1"/>
  <c r="N69" i="59" s="1"/>
  <c r="G69" i="59" a="1"/>
  <c r="G69" i="59" s="1"/>
  <c r="J69" i="59" a="1"/>
  <c r="J69" i="59" s="1"/>
  <c r="H69" i="59" a="1"/>
  <c r="H69" i="59" s="1"/>
  <c r="O69" i="59" a="1"/>
  <c r="O69" i="59" s="1"/>
  <c r="I69" i="59" a="1"/>
  <c r="I69" i="59" s="1"/>
  <c r="K69" i="59" a="1"/>
  <c r="K69" i="59" s="1"/>
  <c r="L69" i="59" a="1"/>
  <c r="L69" i="59" s="1"/>
  <c r="O78" i="59" a="1"/>
  <c r="O78" i="59" s="1"/>
  <c r="M78" i="59" a="1"/>
  <c r="M78" i="59" s="1"/>
  <c r="J78" i="59" a="1"/>
  <c r="J78" i="59" s="1"/>
  <c r="I78" i="59" a="1"/>
  <c r="I78" i="59" s="1"/>
  <c r="N78" i="59" a="1"/>
  <c r="N78" i="59" s="1"/>
  <c r="H78" i="59" a="1"/>
  <c r="H78" i="59" s="1"/>
  <c r="L78" i="59" a="1"/>
  <c r="L78" i="59" s="1"/>
  <c r="K78" i="59" a="1"/>
  <c r="K78" i="59" s="1"/>
  <c r="G78" i="59" a="1"/>
  <c r="G78" i="59" s="1"/>
  <c r="H101" i="59" a="1"/>
  <c r="H101" i="59" s="1"/>
  <c r="O101" i="59" a="1"/>
  <c r="O101" i="59" s="1"/>
  <c r="I101" i="59" a="1"/>
  <c r="I101" i="59" s="1"/>
  <c r="K101" i="59" a="1"/>
  <c r="K101" i="59" s="1"/>
  <c r="G101" i="59" a="1"/>
  <c r="G101" i="59" s="1"/>
  <c r="N101" i="59" a="1"/>
  <c r="N101" i="59" s="1"/>
  <c r="L101" i="59" a="1"/>
  <c r="L101" i="59" s="1"/>
  <c r="M101" i="59" a="1"/>
  <c r="M101" i="59" s="1"/>
  <c r="J101" i="59" a="1"/>
  <c r="J101" i="59" s="1"/>
  <c r="K133" i="59" a="1"/>
  <c r="K133" i="59" s="1"/>
  <c r="O133" i="59" a="1"/>
  <c r="O133" i="59" s="1"/>
  <c r="J133" i="59" a="1"/>
  <c r="J133" i="59" s="1"/>
  <c r="H133" i="59" a="1"/>
  <c r="H133" i="59" s="1"/>
  <c r="I133" i="59" a="1"/>
  <c r="I133" i="59" s="1"/>
  <c r="N133" i="59" a="1"/>
  <c r="N133" i="59" s="1"/>
  <c r="L133" i="59" a="1"/>
  <c r="L133" i="59" s="1"/>
  <c r="G133" i="59" a="1"/>
  <c r="G133" i="59" s="1"/>
  <c r="M133" i="59" a="1"/>
  <c r="M133" i="59" s="1"/>
  <c r="M136" i="59" a="1"/>
  <c r="M136" i="59" s="1"/>
  <c r="I136" i="59" a="1"/>
  <c r="I136" i="59" s="1"/>
  <c r="H136" i="59" a="1"/>
  <c r="H136" i="59" s="1"/>
  <c r="O136" i="59" a="1"/>
  <c r="O136" i="59" s="1"/>
  <c r="J136" i="59" a="1"/>
  <c r="J136" i="59" s="1"/>
  <c r="N136" i="59" a="1"/>
  <c r="N136" i="59" s="1"/>
  <c r="G136" i="59" a="1"/>
  <c r="G136" i="59" s="1"/>
  <c r="K136" i="59" a="1"/>
  <c r="K136" i="59" s="1"/>
  <c r="L136" i="59" a="1"/>
  <c r="L136" i="59" s="1"/>
  <c r="K131" i="59" a="1"/>
  <c r="K131" i="59" s="1"/>
  <c r="J131" i="59" a="1"/>
  <c r="J131" i="59" s="1"/>
  <c r="N131" i="59" a="1"/>
  <c r="N131" i="59" s="1"/>
  <c r="H131" i="59" a="1"/>
  <c r="H131" i="59" s="1"/>
  <c r="M131" i="59" a="1"/>
  <c r="M131" i="59" s="1"/>
  <c r="I131" i="59" a="1"/>
  <c r="I131" i="59" s="1"/>
  <c r="G131" i="59" a="1"/>
  <c r="G131" i="59" s="1"/>
  <c r="O131" i="59" a="1"/>
  <c r="O131" i="59" s="1"/>
  <c r="L131" i="59" a="1"/>
  <c r="L131" i="59" s="1"/>
  <c r="L127" i="59" a="1"/>
  <c r="L127" i="59" s="1"/>
  <c r="N127" i="59" a="1"/>
  <c r="N127" i="59" s="1"/>
  <c r="M127" i="59" a="1"/>
  <c r="M127" i="59" s="1"/>
  <c r="O127" i="59" a="1"/>
  <c r="O127" i="59" s="1"/>
  <c r="I127" i="59" a="1"/>
  <c r="I127" i="59" s="1"/>
  <c r="G127" i="59" a="1"/>
  <c r="G127" i="59" s="1"/>
  <c r="J127" i="59" a="1"/>
  <c r="J127" i="59" s="1"/>
  <c r="H127" i="59" a="1"/>
  <c r="H127" i="59" s="1"/>
  <c r="K127" i="59" a="1"/>
  <c r="K127" i="59" s="1"/>
  <c r="O119" i="59" a="1"/>
  <c r="O119" i="59" s="1"/>
  <c r="K119" i="59" a="1"/>
  <c r="K119" i="59" s="1"/>
  <c r="G119" i="59" a="1"/>
  <c r="G119" i="59" s="1"/>
  <c r="M119" i="59" a="1"/>
  <c r="M119" i="59" s="1"/>
  <c r="L119" i="59" a="1"/>
  <c r="L119" i="59" s="1"/>
  <c r="I119" i="59" a="1"/>
  <c r="I119" i="59" s="1"/>
  <c r="N119" i="59" a="1"/>
  <c r="N119" i="59" s="1"/>
  <c r="H119" i="59" a="1"/>
  <c r="H119" i="59" s="1"/>
  <c r="J119" i="59" a="1"/>
  <c r="J119" i="59" s="1"/>
  <c r="C467" i="54"/>
  <c r="C867" i="59"/>
  <c r="C525" i="65"/>
  <c r="C243" i="67"/>
  <c r="C389" i="54"/>
  <c r="C332" i="53"/>
  <c r="C349" i="54"/>
  <c r="C575" i="67"/>
  <c r="C144" i="49"/>
  <c r="C92" i="66"/>
  <c r="C92" i="65"/>
  <c r="C672" i="59"/>
  <c r="C236" i="66"/>
  <c r="C751" i="59"/>
  <c r="C428" i="54"/>
  <c r="C119" i="59"/>
  <c r="C237" i="65"/>
  <c r="C797" i="67"/>
  <c r="C765" i="54"/>
  <c r="C294" i="53"/>
  <c r="C537" i="67"/>
  <c r="C964" i="67"/>
  <c r="C381" i="65"/>
  <c r="C204" i="67"/>
  <c r="C711" i="59"/>
  <c r="C789" i="59"/>
  <c r="C256" i="53"/>
  <c r="C828" i="59"/>
  <c r="C420" i="54"/>
  <c r="C235" i="67"/>
  <c r="C341" i="54"/>
  <c r="C196" i="67"/>
  <c r="C820" i="59"/>
  <c r="C956" i="67"/>
  <c r="C248" i="53"/>
  <c r="C136" i="49"/>
  <c r="C459" i="54"/>
  <c r="C567" i="67"/>
  <c r="C381" i="54"/>
  <c r="C664" i="59"/>
  <c r="C703" i="59"/>
  <c r="C517" i="65"/>
  <c r="C757" i="54"/>
  <c r="C781" i="59"/>
  <c r="C84" i="65"/>
  <c r="C373" i="65"/>
  <c r="C228" i="66"/>
  <c r="C286" i="53"/>
  <c r="C324" i="53"/>
  <c r="C743" i="59"/>
  <c r="C529" i="67"/>
  <c r="C229" i="65"/>
  <c r="C789" i="67"/>
  <c r="C84" i="66"/>
  <c r="C111" i="59"/>
  <c r="C859" i="59"/>
  <c r="C761" i="59"/>
  <c r="C391" i="65"/>
  <c r="C102" i="66"/>
  <c r="C304" i="53"/>
  <c r="C246" i="66"/>
  <c r="C438" i="54"/>
  <c r="C547" i="67"/>
  <c r="C266" i="53"/>
  <c r="C877" i="59"/>
  <c r="C477" i="54"/>
  <c r="C682" i="59"/>
  <c r="C775" i="54"/>
  <c r="C838" i="59"/>
  <c r="C799" i="59"/>
  <c r="C129" i="59"/>
  <c r="C253" i="67"/>
  <c r="C535" i="65"/>
  <c r="C585" i="67"/>
  <c r="C807" i="67"/>
  <c r="C214" i="67"/>
  <c r="C247" i="65"/>
  <c r="C359" i="54"/>
  <c r="C102" i="65"/>
  <c r="C721" i="59"/>
  <c r="C974" i="67"/>
  <c r="C154" i="49"/>
  <c r="C342" i="53"/>
  <c r="C399" i="54"/>
  <c r="C855" i="59"/>
  <c r="C377" i="54"/>
  <c r="C369" i="65"/>
  <c r="C753" i="54"/>
  <c r="C80" i="65"/>
  <c r="C785" i="67"/>
  <c r="C80" i="66"/>
  <c r="C244" i="53"/>
  <c r="C816" i="59"/>
  <c r="C107" i="59"/>
  <c r="C231" i="67"/>
  <c r="C455" i="54"/>
  <c r="C777" i="59"/>
  <c r="C132" i="49"/>
  <c r="C513" i="65"/>
  <c r="C952" i="67"/>
  <c r="C525" i="67"/>
  <c r="C282" i="53"/>
  <c r="C320" i="53"/>
  <c r="C337" i="54"/>
  <c r="C739" i="59"/>
  <c r="C225" i="65"/>
  <c r="C416" i="54"/>
  <c r="C660" i="59"/>
  <c r="C192" i="67"/>
  <c r="C224" i="66"/>
  <c r="C563" i="67"/>
  <c r="C699" i="59"/>
  <c r="C910" i="67"/>
  <c r="C187" i="66"/>
  <c r="C499" i="59"/>
  <c r="C217" i="54"/>
  <c r="C43" i="66"/>
  <c r="C256" i="54"/>
  <c r="C106" i="67"/>
  <c r="C332" i="65"/>
  <c r="C145" i="67"/>
  <c r="C537" i="59"/>
  <c r="C125" i="53"/>
  <c r="C441" i="67"/>
  <c r="C295" i="54"/>
  <c r="C88" i="49"/>
  <c r="C705" i="54"/>
  <c r="C69" i="59"/>
  <c r="C479" i="67"/>
  <c r="C459" i="59"/>
  <c r="C615" i="59"/>
  <c r="C43" i="65"/>
  <c r="C188" i="65"/>
  <c r="C576" i="59"/>
  <c r="C737" i="67"/>
  <c r="C177" i="54"/>
  <c r="C420" i="59"/>
  <c r="C163" i="53"/>
  <c r="C201" i="53"/>
  <c r="C476" i="65"/>
  <c r="C483" i="59"/>
  <c r="C934" i="67"/>
  <c r="C169" i="67"/>
  <c r="C444" i="59"/>
  <c r="C500" i="65"/>
  <c r="C67" i="65"/>
  <c r="C280" i="54"/>
  <c r="C761" i="67"/>
  <c r="C503" i="67"/>
  <c r="C600" i="59"/>
  <c r="C67" i="66"/>
  <c r="C729" i="54"/>
  <c r="C149" i="53"/>
  <c r="C319" i="54"/>
  <c r="C211" i="66"/>
  <c r="C225" i="53"/>
  <c r="C93" i="59"/>
  <c r="C212" i="65"/>
  <c r="C561" i="59"/>
  <c r="C130" i="67"/>
  <c r="C356" i="65"/>
  <c r="C201" i="54"/>
  <c r="C523" i="59"/>
  <c r="C465" i="67"/>
  <c r="C112" i="49"/>
  <c r="C187" i="53"/>
  <c r="C639" i="59"/>
  <c r="C241" i="54"/>
  <c r="C514" i="59"/>
  <c r="C347" i="65"/>
  <c r="C494" i="67"/>
  <c r="C591" i="59"/>
  <c r="C271" i="54"/>
  <c r="C84" i="59"/>
  <c r="C630" i="59"/>
  <c r="C474" i="59"/>
  <c r="C456" i="67"/>
  <c r="C232" i="54"/>
  <c r="C121" i="67"/>
  <c r="C103" i="49"/>
  <c r="C192" i="54"/>
  <c r="C925" i="67"/>
  <c r="C58" i="66"/>
  <c r="C491" i="65"/>
  <c r="C435" i="59"/>
  <c r="C203" i="65"/>
  <c r="C178" i="53"/>
  <c r="C202" i="66"/>
  <c r="C552" i="59"/>
  <c r="C720" i="54"/>
  <c r="C58" i="65"/>
  <c r="C752" i="67"/>
  <c r="C216" i="53"/>
  <c r="C310" i="54"/>
  <c r="C160" i="67"/>
  <c r="C140" i="53"/>
  <c r="C546" i="59"/>
  <c r="C197" i="65"/>
  <c r="C485" i="65"/>
  <c r="C52" i="65"/>
  <c r="C196" i="66"/>
  <c r="C488" i="67"/>
  <c r="C468" i="59"/>
  <c r="C186" i="54"/>
  <c r="C919" i="67"/>
  <c r="C624" i="59"/>
  <c r="C97" i="49"/>
  <c r="C304" i="54"/>
  <c r="C52" i="66"/>
  <c r="C265" i="54"/>
  <c r="C154" i="67"/>
  <c r="C134" i="53"/>
  <c r="C746" i="67"/>
  <c r="C450" i="67"/>
  <c r="C210" i="53"/>
  <c r="C115" i="67"/>
  <c r="C341" i="65"/>
  <c r="C714" i="54"/>
  <c r="C585" i="59"/>
  <c r="C429" i="59"/>
  <c r="C226" i="54"/>
  <c r="C172" i="53"/>
  <c r="C78" i="59"/>
  <c r="C508" i="59"/>
  <c r="C51" i="59"/>
  <c r="C395" i="59"/>
  <c r="C77" i="54"/>
  <c r="C64" i="53"/>
  <c r="C415" i="67"/>
  <c r="C317" i="59"/>
  <c r="C356" i="59"/>
  <c r="C279" i="59"/>
  <c r="C170" i="66"/>
  <c r="C459" i="65"/>
  <c r="C102" i="53"/>
  <c r="C888" i="67"/>
  <c r="C200" i="59"/>
  <c r="C239" i="59"/>
  <c r="C26" i="65"/>
  <c r="C79" i="67"/>
  <c r="C116" i="54"/>
  <c r="C26" i="53"/>
  <c r="C37" i="54"/>
  <c r="C40" i="67"/>
  <c r="C171" i="65"/>
  <c r="C64" i="49"/>
  <c r="C677" i="54"/>
  <c r="C155" i="54"/>
  <c r="C26" i="66"/>
  <c r="C377" i="67"/>
  <c r="C315" i="65"/>
  <c r="C709" i="67"/>
  <c r="C70" i="54"/>
  <c r="C109" i="54"/>
  <c r="C30" i="54"/>
  <c r="C19" i="53"/>
  <c r="C148" i="54"/>
  <c r="C95" i="53"/>
  <c r="C232" i="59"/>
  <c r="C452" i="65"/>
  <c r="C310" i="59"/>
  <c r="C193" i="59"/>
  <c r="C44" i="59"/>
  <c r="C388" i="59"/>
  <c r="C702" i="67"/>
  <c r="C72" i="67"/>
  <c r="C57" i="53"/>
  <c r="C349" i="59"/>
  <c r="C881" i="67"/>
  <c r="C164" i="65"/>
  <c r="C272" i="59"/>
  <c r="C19" i="66"/>
  <c r="C57" i="49"/>
  <c r="C670" i="54"/>
  <c r="C33" i="67"/>
  <c r="C370" i="67"/>
  <c r="C19" i="65"/>
  <c r="C408" i="67"/>
  <c r="C308" i="65"/>
  <c r="C163" i="66"/>
  <c r="C54" i="53"/>
  <c r="C367" i="67"/>
  <c r="C878" i="67"/>
  <c r="C346" i="59"/>
  <c r="C145" i="54"/>
  <c r="C92" i="53"/>
  <c r="C307" i="59"/>
  <c r="C30" i="67"/>
  <c r="C27" i="54"/>
  <c r="C190" i="59"/>
  <c r="C67" i="54"/>
  <c r="C269" i="59"/>
  <c r="C69" i="67"/>
  <c r="C54" i="49"/>
  <c r="C16" i="66"/>
  <c r="C16" i="65"/>
  <c r="C667" i="54"/>
  <c r="C305" i="65"/>
  <c r="C106" i="54"/>
  <c r="C229" i="59"/>
  <c r="C449" i="65"/>
  <c r="C405" i="67"/>
  <c r="C161" i="65"/>
  <c r="C699" i="67"/>
  <c r="C41" i="59"/>
  <c r="C16" i="53"/>
  <c r="C385" i="59"/>
  <c r="C160" i="66"/>
  <c r="C86" i="67"/>
  <c r="C33" i="65"/>
  <c r="C716" i="67"/>
  <c r="C162" i="54"/>
  <c r="C422" i="67"/>
  <c r="C58" i="59"/>
  <c r="C71" i="53"/>
  <c r="C895" i="67"/>
  <c r="C33" i="53"/>
  <c r="C178" i="65"/>
  <c r="C44" i="54"/>
  <c r="C246" i="59"/>
  <c r="C466" i="65"/>
  <c r="C684" i="54"/>
  <c r="C402" i="59"/>
  <c r="C286" i="59"/>
  <c r="C84" i="54"/>
  <c r="C47" i="67"/>
  <c r="C322" i="65"/>
  <c r="C177" i="66"/>
  <c r="C33" i="66"/>
  <c r="C71" i="49"/>
  <c r="C207" i="59"/>
  <c r="C123" i="54"/>
  <c r="C324" i="59"/>
  <c r="C363" i="59"/>
  <c r="C384" i="67"/>
  <c r="C109" i="53"/>
  <c r="G39" i="59" a="1"/>
  <c r="G39" i="59" s="1"/>
  <c r="L39" i="59" a="1"/>
  <c r="L39" i="59" s="1"/>
  <c r="J39" i="59" a="1"/>
  <c r="J39" i="59" s="1"/>
  <c r="H39" i="59" a="1"/>
  <c r="H39" i="59" s="1"/>
  <c r="K39" i="59" a="1"/>
  <c r="K39" i="59" s="1"/>
  <c r="N39" i="59" a="1"/>
  <c r="N39" i="59" s="1"/>
  <c r="M39" i="59" a="1"/>
  <c r="M39" i="59" s="1"/>
  <c r="O39" i="59" a="1"/>
  <c r="O39" i="59" s="1"/>
  <c r="I39" i="59" a="1"/>
  <c r="I39" i="59" s="1"/>
  <c r="O48" i="59" a="1"/>
  <c r="O48" i="59" s="1"/>
  <c r="N48" i="59" a="1"/>
  <c r="N48" i="59" s="1"/>
  <c r="L48" i="59" a="1"/>
  <c r="L48" i="59" s="1"/>
  <c r="K48" i="59" a="1"/>
  <c r="K48" i="59" s="1"/>
  <c r="I48" i="59" a="1"/>
  <c r="I48" i="59" s="1"/>
  <c r="H48" i="59" a="1"/>
  <c r="H48" i="59" s="1"/>
  <c r="G48" i="59" a="1"/>
  <c r="G48" i="59" s="1"/>
  <c r="J48" i="59" a="1"/>
  <c r="J48" i="59" s="1"/>
  <c r="M48" i="59" a="1"/>
  <c r="M48" i="59" s="1"/>
  <c r="L32" i="59" a="1"/>
  <c r="L32" i="59" s="1"/>
  <c r="K32" i="59" a="1"/>
  <c r="K32" i="59" s="1"/>
  <c r="J32" i="59" a="1"/>
  <c r="J32" i="59" s="1"/>
  <c r="I32" i="59" a="1"/>
  <c r="I32" i="59" s="1"/>
  <c r="H32" i="59" a="1"/>
  <c r="H32" i="59" s="1"/>
  <c r="O32" i="59" a="1"/>
  <c r="O32" i="59" s="1"/>
  <c r="G32" i="59" a="1"/>
  <c r="G32" i="59" s="1"/>
  <c r="M32" i="59" a="1"/>
  <c r="M32" i="59" s="1"/>
  <c r="N32" i="59" a="1"/>
  <c r="N32" i="59" s="1"/>
  <c r="H58" i="59" a="1"/>
  <c r="H58" i="59" s="1"/>
  <c r="O58" i="59" a="1"/>
  <c r="O58" i="59" s="1"/>
  <c r="J58" i="59" a="1"/>
  <c r="J58" i="59" s="1"/>
  <c r="G58" i="59" a="1"/>
  <c r="G58" i="59" s="1"/>
  <c r="K58" i="59" a="1"/>
  <c r="K58" i="59" s="1"/>
  <c r="I58" i="59" a="1"/>
  <c r="I58" i="59" s="1"/>
  <c r="L58" i="59" a="1"/>
  <c r="L58" i="59" s="1"/>
  <c r="N58" i="59" a="1"/>
  <c r="N58" i="59" s="1"/>
  <c r="M58" i="59" a="1"/>
  <c r="M58" i="59" s="1"/>
  <c r="I36" i="59" a="1"/>
  <c r="I36" i="59" s="1"/>
  <c r="L36" i="59" a="1"/>
  <c r="L36" i="59" s="1"/>
  <c r="J36" i="59" a="1"/>
  <c r="J36" i="59" s="1"/>
  <c r="H36" i="59" a="1"/>
  <c r="H36" i="59" s="1"/>
  <c r="O36" i="59" a="1"/>
  <c r="O36" i="59" s="1"/>
  <c r="G36" i="59" a="1"/>
  <c r="G36" i="59" s="1"/>
  <c r="N36" i="59" a="1"/>
  <c r="N36" i="59" s="1"/>
  <c r="M36" i="59" a="1"/>
  <c r="M36" i="59" s="1"/>
  <c r="K36" i="59" a="1"/>
  <c r="K36" i="59" s="1"/>
  <c r="G150" i="59" a="1"/>
  <c r="G150" i="59" s="1"/>
  <c r="N150" i="59" a="1"/>
  <c r="N150" i="59" s="1"/>
  <c r="O150" i="59" a="1"/>
  <c r="O150" i="59" s="1"/>
  <c r="K150" i="59" a="1"/>
  <c r="K150" i="59" s="1"/>
  <c r="I150" i="59" a="1"/>
  <c r="I150" i="59" s="1"/>
  <c r="J150" i="59" a="1"/>
  <c r="J150" i="59" s="1"/>
  <c r="L150" i="59" a="1"/>
  <c r="L150" i="59" s="1"/>
  <c r="H150" i="59" a="1"/>
  <c r="H150" i="59" s="1"/>
  <c r="M150" i="59" a="1"/>
  <c r="M150" i="59" s="1"/>
  <c r="G148" i="59" a="1"/>
  <c r="G148" i="59" s="1"/>
  <c r="I148" i="59" a="1"/>
  <c r="I148" i="59" s="1"/>
  <c r="H148" i="59" a="1"/>
  <c r="H148" i="59" s="1"/>
  <c r="L148" i="59" a="1"/>
  <c r="L148" i="59" s="1"/>
  <c r="O148" i="59" a="1"/>
  <c r="O148" i="59" s="1"/>
  <c r="K148" i="59" a="1"/>
  <c r="K148" i="59" s="1"/>
  <c r="M148" i="59" a="1"/>
  <c r="M148" i="59" s="1"/>
  <c r="J148" i="59" a="1"/>
  <c r="J148" i="59" s="1"/>
  <c r="N148" i="59" a="1"/>
  <c r="N148" i="59" s="1"/>
  <c r="N155" i="59" a="1"/>
  <c r="N155" i="59" s="1"/>
  <c r="M155" i="59" a="1"/>
  <c r="M155" i="59" s="1"/>
  <c r="G155" i="59" a="1"/>
  <c r="G155" i="59" s="1"/>
  <c r="H155" i="59" a="1"/>
  <c r="H155" i="59" s="1"/>
  <c r="K155" i="59" a="1"/>
  <c r="K155" i="59" s="1"/>
  <c r="I155" i="59" a="1"/>
  <c r="I155" i="59" s="1"/>
  <c r="J155" i="59" a="1"/>
  <c r="J155" i="59" s="1"/>
  <c r="L155" i="59" a="1"/>
  <c r="L155" i="59" s="1"/>
  <c r="O155" i="59" a="1"/>
  <c r="O155" i="59" s="1"/>
  <c r="H154" i="59" a="1"/>
  <c r="H154" i="59" s="1"/>
  <c r="O154" i="59" a="1"/>
  <c r="O154" i="59" s="1"/>
  <c r="L154" i="59" a="1"/>
  <c r="L154" i="59" s="1"/>
  <c r="G154" i="59" a="1"/>
  <c r="G154" i="59" s="1"/>
  <c r="J154" i="59" a="1"/>
  <c r="J154" i="59" s="1"/>
  <c r="K154" i="59" a="1"/>
  <c r="K154" i="59" s="1"/>
  <c r="M154" i="59" a="1"/>
  <c r="M154" i="59" s="1"/>
  <c r="N154" i="59" a="1"/>
  <c r="N154" i="59" s="1"/>
  <c r="I154" i="59" a="1"/>
  <c r="I154" i="59" s="1"/>
  <c r="H85" i="59" a="1"/>
  <c r="H85" i="59" s="1"/>
  <c r="G85" i="59" a="1"/>
  <c r="G85" i="59" s="1"/>
  <c r="J85" i="59" a="1"/>
  <c r="J85" i="59" s="1"/>
  <c r="L85" i="59" a="1"/>
  <c r="L85" i="59" s="1"/>
  <c r="K85" i="59" a="1"/>
  <c r="K85" i="59" s="1"/>
  <c r="I85" i="59" a="1"/>
  <c r="I85" i="59" s="1"/>
  <c r="M85" i="59" a="1"/>
  <c r="M85" i="59" s="1"/>
  <c r="N85" i="59" a="1"/>
  <c r="N85" i="59" s="1"/>
  <c r="O85" i="59" a="1"/>
  <c r="O85" i="59" s="1"/>
  <c r="K98" i="59" a="1"/>
  <c r="K98" i="59" s="1"/>
  <c r="O98" i="59" a="1"/>
  <c r="O98" i="59" s="1"/>
  <c r="L98" i="59" a="1"/>
  <c r="L98" i="59" s="1"/>
  <c r="M98" i="59" a="1"/>
  <c r="M98" i="59" s="1"/>
  <c r="J98" i="59" a="1"/>
  <c r="J98" i="59" s="1"/>
  <c r="G98" i="59" a="1"/>
  <c r="G98" i="59" s="1"/>
  <c r="N98" i="59" a="1"/>
  <c r="N98" i="59" s="1"/>
  <c r="H98" i="59" a="1"/>
  <c r="H98" i="59" s="1"/>
  <c r="I98" i="59" a="1"/>
  <c r="I98" i="59" s="1"/>
  <c r="L92" i="59" a="1"/>
  <c r="L92" i="59" s="1"/>
  <c r="I92" i="59" a="1"/>
  <c r="I92" i="59" s="1"/>
  <c r="N92" i="59" a="1"/>
  <c r="N92" i="59" s="1"/>
  <c r="M92" i="59" a="1"/>
  <c r="M92" i="59" s="1"/>
  <c r="O92" i="59" a="1"/>
  <c r="O92" i="59" s="1"/>
  <c r="J92" i="59" a="1"/>
  <c r="J92" i="59" s="1"/>
  <c r="H92" i="59" a="1"/>
  <c r="H92" i="59" s="1"/>
  <c r="G92" i="59" a="1"/>
  <c r="G92" i="59" s="1"/>
  <c r="K92" i="59" a="1"/>
  <c r="K92" i="59" s="1"/>
  <c r="I76" i="59" a="1"/>
  <c r="I76" i="59" s="1"/>
  <c r="K76" i="59" a="1"/>
  <c r="K76" i="59" s="1"/>
  <c r="O76" i="59" a="1"/>
  <c r="O76" i="59" s="1"/>
  <c r="L76" i="59" a="1"/>
  <c r="L76" i="59" s="1"/>
  <c r="J76" i="59" a="1"/>
  <c r="J76" i="59" s="1"/>
  <c r="N76" i="59" a="1"/>
  <c r="N76" i="59" s="1"/>
  <c r="M76" i="59" a="1"/>
  <c r="M76" i="59" s="1"/>
  <c r="G76" i="59" a="1"/>
  <c r="G76" i="59" s="1"/>
  <c r="H76" i="59" a="1"/>
  <c r="H76" i="59" s="1"/>
  <c r="M130" i="59" a="1"/>
  <c r="M130" i="59" s="1"/>
  <c r="J130" i="59" a="1"/>
  <c r="J130" i="59" s="1"/>
  <c r="K130" i="59" a="1"/>
  <c r="K130" i="59" s="1"/>
  <c r="H130" i="59" a="1"/>
  <c r="H130" i="59" s="1"/>
  <c r="I130" i="59" a="1"/>
  <c r="I130" i="59" s="1"/>
  <c r="L130" i="59" a="1"/>
  <c r="L130" i="59" s="1"/>
  <c r="O130" i="59" a="1"/>
  <c r="O130" i="59" s="1"/>
  <c r="N130" i="59" a="1"/>
  <c r="N130" i="59" s="1"/>
  <c r="G130" i="59" a="1"/>
  <c r="G130" i="59" s="1"/>
  <c r="J109" i="59" a="1"/>
  <c r="J109" i="59" s="1"/>
  <c r="H109" i="59" a="1"/>
  <c r="H109" i="59" s="1"/>
  <c r="K109" i="59" a="1"/>
  <c r="K109" i="59" s="1"/>
  <c r="G109" i="59" a="1"/>
  <c r="G109" i="59" s="1"/>
  <c r="L109" i="59" a="1"/>
  <c r="L109" i="59" s="1"/>
  <c r="M109" i="59" a="1"/>
  <c r="M109" i="59" s="1"/>
  <c r="I109" i="59" a="1"/>
  <c r="I109" i="59" s="1"/>
  <c r="O109" i="59" a="1"/>
  <c r="O109" i="59" s="1"/>
  <c r="N109" i="59" a="1"/>
  <c r="N109" i="59" s="1"/>
  <c r="M137" i="59" a="1"/>
  <c r="M137" i="59" s="1"/>
  <c r="L137" i="59" a="1"/>
  <c r="L137" i="59" s="1"/>
  <c r="H137" i="59" a="1"/>
  <c r="H137" i="59" s="1"/>
  <c r="N137" i="59" a="1"/>
  <c r="N137" i="59" s="1"/>
  <c r="J137" i="59" a="1"/>
  <c r="J137" i="59" s="1"/>
  <c r="O137" i="59" a="1"/>
  <c r="O137" i="59" s="1"/>
  <c r="I137" i="59" a="1"/>
  <c r="I137" i="59" s="1"/>
  <c r="K137" i="59" a="1"/>
  <c r="K137" i="59" s="1"/>
  <c r="G137" i="59" a="1"/>
  <c r="G137" i="59" s="1"/>
  <c r="G138" i="59" a="1"/>
  <c r="G138" i="59" s="1"/>
  <c r="L138" i="59" a="1"/>
  <c r="L138" i="59" s="1"/>
  <c r="I138" i="59" a="1"/>
  <c r="I138" i="59" s="1"/>
  <c r="O138" i="59" a="1"/>
  <c r="O138" i="59" s="1"/>
  <c r="K138" i="59" a="1"/>
  <c r="K138" i="59" s="1"/>
  <c r="H138" i="59" a="1"/>
  <c r="H138" i="59" s="1"/>
  <c r="J138" i="59" a="1"/>
  <c r="J138" i="59" s="1"/>
  <c r="N138" i="59" a="1"/>
  <c r="N138" i="59" s="1"/>
  <c r="M138" i="59" a="1"/>
  <c r="M138" i="59" s="1"/>
  <c r="O118" i="59" a="1"/>
  <c r="O118" i="59" s="1"/>
  <c r="H118" i="59" a="1"/>
  <c r="H118" i="59" s="1"/>
  <c r="M118" i="59" a="1"/>
  <c r="M118" i="59" s="1"/>
  <c r="K118" i="59" a="1"/>
  <c r="K118" i="59" s="1"/>
  <c r="I118" i="59" a="1"/>
  <c r="I118" i="59" s="1"/>
  <c r="J118" i="59" a="1"/>
  <c r="J118" i="59" s="1"/>
  <c r="N118" i="59" a="1"/>
  <c r="N118" i="59" s="1"/>
  <c r="G118" i="59" a="1"/>
  <c r="G118" i="59" s="1"/>
  <c r="L118" i="59" a="1"/>
  <c r="L118" i="59" s="1"/>
  <c r="C9" i="54"/>
  <c r="B740" i="54"/>
  <c r="B180" i="67"/>
  <c r="C7" i="59"/>
  <c r="B772" i="67"/>
  <c r="B330" i="54"/>
  <c r="B650" i="59"/>
  <c r="C8" i="73"/>
  <c r="B149" i="73"/>
  <c r="B123" i="49"/>
  <c r="C76" i="79"/>
  <c r="C68" i="79"/>
  <c r="B946" i="67"/>
  <c r="C7" i="79"/>
  <c r="C7" i="67"/>
  <c r="B514" i="67"/>
  <c r="C26" i="49"/>
  <c r="C14" i="59"/>
  <c r="B237" i="53"/>
  <c r="C954" i="67"/>
  <c r="C787" i="67"/>
  <c r="C779" i="59"/>
  <c r="C233" i="67"/>
  <c r="C701" i="59"/>
  <c r="C82" i="66"/>
  <c r="C194" i="67"/>
  <c r="C226" i="66"/>
  <c r="C527" i="67"/>
  <c r="C227" i="65"/>
  <c r="C857" i="59"/>
  <c r="C418" i="54"/>
  <c r="C322" i="53"/>
  <c r="C755" i="54"/>
  <c r="C662" i="59"/>
  <c r="C741" i="59"/>
  <c r="C134" i="49"/>
  <c r="C818" i="59"/>
  <c r="C339" i="54"/>
  <c r="C565" i="67"/>
  <c r="C284" i="53"/>
  <c r="C379" i="54"/>
  <c r="C109" i="59"/>
  <c r="C371" i="65"/>
  <c r="C82" i="65"/>
  <c r="C457" i="54"/>
  <c r="C246" i="53"/>
  <c r="C515" i="65"/>
  <c r="C250" i="53"/>
  <c r="C138" i="49"/>
  <c r="C237" i="67"/>
  <c r="C198" i="67"/>
  <c r="C288" i="53"/>
  <c r="C531" i="67"/>
  <c r="C822" i="59"/>
  <c r="C343" i="54"/>
  <c r="C759" i="54"/>
  <c r="C375" i="65"/>
  <c r="C666" i="59"/>
  <c r="C705" i="59"/>
  <c r="C519" i="65"/>
  <c r="C861" i="59"/>
  <c r="C383" i="54"/>
  <c r="C791" i="67"/>
  <c r="C86" i="65"/>
  <c r="C231" i="65"/>
  <c r="C745" i="59"/>
  <c r="C86" i="66"/>
  <c r="C958" i="67"/>
  <c r="C230" i="66"/>
  <c r="C422" i="54"/>
  <c r="C113" i="59"/>
  <c r="C569" i="67"/>
  <c r="C326" i="53"/>
  <c r="C783" i="59"/>
  <c r="C461" i="54"/>
  <c r="C570" i="67"/>
  <c r="C376" i="65"/>
  <c r="C289" i="53"/>
  <c r="C232" i="65"/>
  <c r="C823" i="59"/>
  <c r="C87" i="66"/>
  <c r="C344" i="54"/>
  <c r="C384" i="54"/>
  <c r="C532" i="67"/>
  <c r="C746" i="59"/>
  <c r="C139" i="49"/>
  <c r="C199" i="67"/>
  <c r="C231" i="66"/>
  <c r="C667" i="59"/>
  <c r="C959" i="67"/>
  <c r="C251" i="53"/>
  <c r="C706" i="59"/>
  <c r="C760" i="54"/>
  <c r="C87" i="65"/>
  <c r="C327" i="53"/>
  <c r="C238" i="67"/>
  <c r="C423" i="54"/>
  <c r="C792" i="67"/>
  <c r="C462" i="54"/>
  <c r="C862" i="59"/>
  <c r="C114" i="59"/>
  <c r="C784" i="59"/>
  <c r="C520" i="65"/>
  <c r="C975" i="67"/>
  <c r="C247" i="66"/>
  <c r="C839" i="59"/>
  <c r="C392" i="65"/>
  <c r="C548" i="67"/>
  <c r="C130" i="59"/>
  <c r="C248" i="65"/>
  <c r="C254" i="67"/>
  <c r="C305" i="53"/>
  <c r="C808" i="67"/>
  <c r="C586" i="67"/>
  <c r="C343" i="53"/>
  <c r="C878" i="59"/>
  <c r="C776" i="54"/>
  <c r="C360" i="54"/>
  <c r="C478" i="54"/>
  <c r="C683" i="59"/>
  <c r="C439" i="54"/>
  <c r="C267" i="53"/>
  <c r="C103" i="65"/>
  <c r="C536" i="65"/>
  <c r="C103" i="66"/>
  <c r="C722" i="59"/>
  <c r="C400" i="54"/>
  <c r="C762" i="59"/>
  <c r="C800" i="59"/>
  <c r="C155" i="49"/>
  <c r="C215" i="67"/>
  <c r="C490" i="67"/>
  <c r="C548" i="59"/>
  <c r="C54" i="66"/>
  <c r="C99" i="49"/>
  <c r="C921" i="67"/>
  <c r="C212" i="53"/>
  <c r="C80" i="59"/>
  <c r="C510" i="59"/>
  <c r="C306" i="54"/>
  <c r="C748" i="67"/>
  <c r="C174" i="53"/>
  <c r="C587" i="59"/>
  <c r="C199" i="65"/>
  <c r="C198" i="66"/>
  <c r="C343" i="65"/>
  <c r="C188" i="54"/>
  <c r="C117" i="67"/>
  <c r="C267" i="54"/>
  <c r="C716" i="54"/>
  <c r="C431" i="59"/>
  <c r="C626" i="59"/>
  <c r="C156" i="67"/>
  <c r="C228" i="54"/>
  <c r="C452" i="67"/>
  <c r="C54" i="65"/>
  <c r="C136" i="53"/>
  <c r="C470" i="59"/>
  <c r="C487" i="65"/>
  <c r="C177" i="67"/>
  <c r="C531" i="59"/>
  <c r="C942" i="67"/>
  <c r="C157" i="53"/>
  <c r="C233" i="53"/>
  <c r="C491" i="59"/>
  <c r="C220" i="65"/>
  <c r="C209" i="54"/>
  <c r="C508" i="65"/>
  <c r="C138" i="67"/>
  <c r="C364" i="65"/>
  <c r="C737" i="54"/>
  <c r="C219" i="66"/>
  <c r="C75" i="65"/>
  <c r="C120" i="49"/>
  <c r="C195" i="53"/>
  <c r="C75" i="66"/>
  <c r="C473" i="67"/>
  <c r="C569" i="59"/>
  <c r="C769" i="67"/>
  <c r="C288" i="54"/>
  <c r="C647" i="59"/>
  <c r="C608" i="59"/>
  <c r="C101" i="59"/>
  <c r="C452" i="59"/>
  <c r="C249" i="54"/>
  <c r="C511" i="67"/>
  <c r="C327" i="54"/>
  <c r="C200" i="54"/>
  <c r="C210" i="66"/>
  <c r="C224" i="53"/>
  <c r="C279" i="54"/>
  <c r="C464" i="67"/>
  <c r="C933" i="67"/>
  <c r="C638" i="59"/>
  <c r="C560" i="59"/>
  <c r="C111" i="49"/>
  <c r="C186" i="53"/>
  <c r="C443" i="59"/>
  <c r="C66" i="66"/>
  <c r="C211" i="65"/>
  <c r="C502" i="67"/>
  <c r="C240" i="54"/>
  <c r="C499" i="65"/>
  <c r="C355" i="65"/>
  <c r="C599" i="59"/>
  <c r="C522" i="59"/>
  <c r="C760" i="67"/>
  <c r="C148" i="53"/>
  <c r="C92" i="59"/>
  <c r="C318" i="54"/>
  <c r="C129" i="67"/>
  <c r="C482" i="59"/>
  <c r="C66" i="65"/>
  <c r="C168" i="67"/>
  <c r="C728" i="54"/>
  <c r="C504" i="67"/>
  <c r="C213" i="65"/>
  <c r="C226" i="53"/>
  <c r="C113" i="49"/>
  <c r="C281" i="54"/>
  <c r="C562" i="59"/>
  <c r="C524" i="59"/>
  <c r="C445" i="59"/>
  <c r="C242" i="54"/>
  <c r="C935" i="67"/>
  <c r="C170" i="67"/>
  <c r="C188" i="53"/>
  <c r="C466" i="67"/>
  <c r="C730" i="54"/>
  <c r="C501" i="65"/>
  <c r="C68" i="66"/>
  <c r="C94" i="59"/>
  <c r="C640" i="59"/>
  <c r="C131" i="67"/>
  <c r="C212" i="66"/>
  <c r="C320" i="54"/>
  <c r="C150" i="53"/>
  <c r="C484" i="59"/>
  <c r="C202" i="54"/>
  <c r="C357" i="65"/>
  <c r="C762" i="67"/>
  <c r="C68" i="65"/>
  <c r="C601" i="59"/>
  <c r="C35" i="54"/>
  <c r="C413" i="67"/>
  <c r="C62" i="53"/>
  <c r="C168" i="66"/>
  <c r="C62" i="49"/>
  <c r="C707" i="67"/>
  <c r="C24" i="66"/>
  <c r="C153" i="54"/>
  <c r="C886" i="67"/>
  <c r="C457" i="65"/>
  <c r="C24" i="53"/>
  <c r="C315" i="59"/>
  <c r="C237" i="59"/>
  <c r="C77" i="67"/>
  <c r="C169" i="65"/>
  <c r="C375" i="67"/>
  <c r="C313" i="65"/>
  <c r="C75" i="54"/>
  <c r="C277" i="59"/>
  <c r="C198" i="59"/>
  <c r="C49" i="59"/>
  <c r="C114" i="54"/>
  <c r="C393" i="59"/>
  <c r="C354" i="59"/>
  <c r="C100" i="53"/>
  <c r="C38" i="67"/>
  <c r="C24" i="65"/>
  <c r="C675" i="54"/>
  <c r="C708" i="67"/>
  <c r="C199" i="59"/>
  <c r="C25" i="53"/>
  <c r="C154" i="54"/>
  <c r="C676" i="54"/>
  <c r="C238" i="59"/>
  <c r="C76" i="54"/>
  <c r="C314" i="65"/>
  <c r="C887" i="67"/>
  <c r="C355" i="59"/>
  <c r="C115" i="54"/>
  <c r="C170" i="65"/>
  <c r="C376" i="67"/>
  <c r="C101" i="53"/>
  <c r="C63" i="53"/>
  <c r="C458" i="65"/>
  <c r="C25" i="66"/>
  <c r="C169" i="66"/>
  <c r="C36" i="54"/>
  <c r="C394" i="59"/>
  <c r="C39" i="67"/>
  <c r="C316" i="59"/>
  <c r="C50" i="59"/>
  <c r="C78" i="67"/>
  <c r="C25" i="65"/>
  <c r="C63" i="49"/>
  <c r="C278" i="59"/>
  <c r="C414" i="67"/>
  <c r="C96" i="53"/>
  <c r="C45" i="59"/>
  <c r="C233" i="59"/>
  <c r="C671" i="54"/>
  <c r="C110" i="54"/>
  <c r="C453" i="65"/>
  <c r="C389" i="59"/>
  <c r="C273" i="59"/>
  <c r="C882" i="67"/>
  <c r="C703" i="67"/>
  <c r="C409" i="67"/>
  <c r="C165" i="65"/>
  <c r="C58" i="49"/>
  <c r="C71" i="54"/>
  <c r="C309" i="65"/>
  <c r="C20" i="65"/>
  <c r="C311" i="59"/>
  <c r="C164" i="66"/>
  <c r="C31" i="54"/>
  <c r="C58" i="53"/>
  <c r="C20" i="66"/>
  <c r="C20" i="53"/>
  <c r="C34" i="67"/>
  <c r="C194" i="59"/>
  <c r="C371" i="67"/>
  <c r="C149" i="54"/>
  <c r="C350" i="59"/>
  <c r="C73" i="67"/>
  <c r="C31" i="67"/>
  <c r="C93" i="53"/>
  <c r="C191" i="59"/>
  <c r="C28" i="54"/>
  <c r="C70" i="67"/>
  <c r="C55" i="53"/>
  <c r="C162" i="65"/>
  <c r="C308" i="59"/>
  <c r="C107" i="54"/>
  <c r="C700" i="67"/>
  <c r="C146" i="54"/>
  <c r="C270" i="59"/>
  <c r="C42" i="59"/>
  <c r="C347" i="59"/>
  <c r="C406" i="67"/>
  <c r="C879" i="67"/>
  <c r="C68" i="54"/>
  <c r="C230" i="59"/>
  <c r="C668" i="54"/>
  <c r="C386" i="59"/>
  <c r="C17" i="53"/>
  <c r="C306" i="65"/>
  <c r="C450" i="65"/>
  <c r="C17" i="65"/>
  <c r="C17" i="66"/>
  <c r="C161" i="66"/>
  <c r="C55" i="49"/>
  <c r="C368" i="67"/>
  <c r="J55" i="59" a="1"/>
  <c r="J55" i="59" s="1"/>
  <c r="I55" i="59" a="1"/>
  <c r="I55" i="59" s="1"/>
  <c r="N55" i="59" a="1"/>
  <c r="N55" i="59" s="1"/>
  <c r="O55" i="59" a="1"/>
  <c r="O55" i="59" s="1"/>
  <c r="M55" i="59" a="1"/>
  <c r="M55" i="59" s="1"/>
  <c r="L55" i="59" a="1"/>
  <c r="L55" i="59" s="1"/>
  <c r="G55" i="59" a="1"/>
  <c r="G55" i="59" s="1"/>
  <c r="K55" i="59" a="1"/>
  <c r="K55" i="59" s="1"/>
  <c r="H55" i="59" a="1"/>
  <c r="H55" i="59" s="1"/>
  <c r="I47" i="59" a="1"/>
  <c r="I47" i="59" s="1"/>
  <c r="H47" i="59" a="1"/>
  <c r="H47" i="59" s="1"/>
  <c r="M47" i="59" a="1"/>
  <c r="M47" i="59" s="1"/>
  <c r="O47" i="59" a="1"/>
  <c r="O47" i="59" s="1"/>
  <c r="L47" i="59" a="1"/>
  <c r="L47" i="59" s="1"/>
  <c r="K47" i="59" a="1"/>
  <c r="K47" i="59" s="1"/>
  <c r="J47" i="59" a="1"/>
  <c r="J47" i="59" s="1"/>
  <c r="G47" i="59" a="1"/>
  <c r="G47" i="59" s="1"/>
  <c r="N47" i="59" a="1"/>
  <c r="N47" i="59" s="1"/>
  <c r="N37" i="59" a="1"/>
  <c r="N37" i="59" s="1"/>
  <c r="M37" i="59" a="1"/>
  <c r="M37" i="59" s="1"/>
  <c r="I37" i="59" a="1"/>
  <c r="I37" i="59" s="1"/>
  <c r="J37" i="59" a="1"/>
  <c r="J37" i="59" s="1"/>
  <c r="G37" i="59" a="1"/>
  <c r="G37" i="59" s="1"/>
  <c r="L37" i="59" a="1"/>
  <c r="L37" i="59" s="1"/>
  <c r="H37" i="59" a="1"/>
  <c r="H37" i="59" s="1"/>
  <c r="O37" i="59" a="1"/>
  <c r="O37" i="59" s="1"/>
  <c r="K37" i="59" a="1"/>
  <c r="K37" i="59" s="1"/>
  <c r="G33" i="59" a="1"/>
  <c r="G33" i="59" s="1"/>
  <c r="H33" i="59" a="1"/>
  <c r="H33" i="59" s="1"/>
  <c r="O33" i="59" a="1"/>
  <c r="O33" i="59" s="1"/>
  <c r="K33" i="59" a="1"/>
  <c r="K33" i="59" s="1"/>
  <c r="L33" i="59" a="1"/>
  <c r="L33" i="59" s="1"/>
  <c r="J33" i="59" a="1"/>
  <c r="J33" i="59" s="1"/>
  <c r="M33" i="59" a="1"/>
  <c r="M33" i="59" s="1"/>
  <c r="N33" i="59" a="1"/>
  <c r="N33" i="59" s="1"/>
  <c r="I33" i="59" a="1"/>
  <c r="I33" i="59" s="1"/>
  <c r="N161" i="59" a="1"/>
  <c r="N161" i="59" s="1"/>
  <c r="G161" i="59" a="1"/>
  <c r="G161" i="59" s="1"/>
  <c r="L161" i="59" a="1"/>
  <c r="L161" i="59" s="1"/>
  <c r="H161" i="59" a="1"/>
  <c r="H161" i="59" s="1"/>
  <c r="I161" i="59" a="1"/>
  <c r="I161" i="59" s="1"/>
  <c r="J161" i="59" a="1"/>
  <c r="J161" i="59" s="1"/>
  <c r="M161" i="59" a="1"/>
  <c r="M161" i="59" s="1"/>
  <c r="K161" i="59" a="1"/>
  <c r="K161" i="59" s="1"/>
  <c r="O161" i="59" a="1"/>
  <c r="O161" i="59" s="1"/>
  <c r="H164" i="59" a="1"/>
  <c r="H164" i="59" s="1"/>
  <c r="L164" i="59" a="1"/>
  <c r="L164" i="59" s="1"/>
  <c r="J164" i="59" a="1"/>
  <c r="J164" i="59" s="1"/>
  <c r="K164" i="59" a="1"/>
  <c r="K164" i="59" s="1"/>
  <c r="M164" i="59" a="1"/>
  <c r="M164" i="59" s="1"/>
  <c r="G164" i="59" a="1"/>
  <c r="G164" i="59" s="1"/>
  <c r="I164" i="59" a="1"/>
  <c r="I164" i="59" s="1"/>
  <c r="O164" i="59" a="1"/>
  <c r="O164" i="59" s="1"/>
  <c r="N164" i="59" a="1"/>
  <c r="N164" i="59" s="1"/>
  <c r="K163" i="59" a="1"/>
  <c r="K163" i="59" s="1"/>
  <c r="M163" i="59" a="1"/>
  <c r="M163" i="59" s="1"/>
  <c r="O163" i="59" a="1"/>
  <c r="O163" i="59" s="1"/>
  <c r="I163" i="59" a="1"/>
  <c r="I163" i="59" s="1"/>
  <c r="H163" i="59" a="1"/>
  <c r="H163" i="59" s="1"/>
  <c r="N163" i="59" a="1"/>
  <c r="N163" i="59" s="1"/>
  <c r="J163" i="59" a="1"/>
  <c r="J163" i="59" s="1"/>
  <c r="L163" i="59" a="1"/>
  <c r="L163" i="59" s="1"/>
  <c r="G163" i="59" a="1"/>
  <c r="G163" i="59" s="1"/>
  <c r="O169" i="59" a="1"/>
  <c r="O169" i="59" s="1"/>
  <c r="I169" i="59" a="1"/>
  <c r="I169" i="59" s="1"/>
  <c r="N169" i="59" a="1"/>
  <c r="N169" i="59" s="1"/>
  <c r="G169" i="59" a="1"/>
  <c r="G169" i="59" s="1"/>
  <c r="L169" i="59" a="1"/>
  <c r="L169" i="59" s="1"/>
  <c r="J169" i="59" a="1"/>
  <c r="J169" i="59" s="1"/>
  <c r="K169" i="59" a="1"/>
  <c r="K169" i="59" s="1"/>
  <c r="H169" i="59" a="1"/>
  <c r="H169" i="59" s="1"/>
  <c r="M169" i="59" a="1"/>
  <c r="M169" i="59" s="1"/>
  <c r="N168" i="59" a="1"/>
  <c r="N168" i="59" s="1"/>
  <c r="G168" i="59" a="1"/>
  <c r="G168" i="59" s="1"/>
  <c r="O168" i="59" a="1"/>
  <c r="O168" i="59" s="1"/>
  <c r="M168" i="59" a="1"/>
  <c r="M168" i="59" s="1"/>
  <c r="I168" i="59" a="1"/>
  <c r="I168" i="59" s="1"/>
  <c r="J168" i="59" a="1"/>
  <c r="J168" i="59" s="1"/>
  <c r="K168" i="59" a="1"/>
  <c r="K168" i="59" s="1"/>
  <c r="H168" i="59" a="1"/>
  <c r="H168" i="59" s="1"/>
  <c r="L168" i="59" a="1"/>
  <c r="L168" i="59" s="1"/>
  <c r="M72" i="59" a="1"/>
  <c r="M72" i="59" s="1"/>
  <c r="L72" i="59" a="1"/>
  <c r="L72" i="59" s="1"/>
  <c r="G72" i="59" a="1"/>
  <c r="G72" i="59" s="1"/>
  <c r="N72" i="59" a="1"/>
  <c r="N72" i="59" s="1"/>
  <c r="H72" i="59" a="1"/>
  <c r="H72" i="59" s="1"/>
  <c r="K72" i="59" a="1"/>
  <c r="K72" i="59" s="1"/>
  <c r="O72" i="59" a="1"/>
  <c r="O72" i="59" s="1"/>
  <c r="I72" i="59" a="1"/>
  <c r="I72" i="59" s="1"/>
  <c r="J72" i="59" a="1"/>
  <c r="J72" i="59" s="1"/>
  <c r="O75" i="59" a="1"/>
  <c r="O75" i="59" s="1"/>
  <c r="H75" i="59" a="1"/>
  <c r="H75" i="59" s="1"/>
  <c r="G75" i="59" a="1"/>
  <c r="G75" i="59" s="1"/>
  <c r="I75" i="59" a="1"/>
  <c r="I75" i="59" s="1"/>
  <c r="L75" i="59" a="1"/>
  <c r="L75" i="59" s="1"/>
  <c r="J75" i="59" a="1"/>
  <c r="J75" i="59" s="1"/>
  <c r="K75" i="59" a="1"/>
  <c r="K75" i="59" s="1"/>
  <c r="N75" i="59" a="1"/>
  <c r="N75" i="59" s="1"/>
  <c r="M75" i="59" a="1"/>
  <c r="M75" i="59" s="1"/>
  <c r="J88" i="59" a="1"/>
  <c r="J88" i="59" s="1"/>
  <c r="N88" i="59" a="1"/>
  <c r="N88" i="59" s="1"/>
  <c r="M88" i="59" a="1"/>
  <c r="M88" i="59" s="1"/>
  <c r="H88" i="59" a="1"/>
  <c r="H88" i="59" s="1"/>
  <c r="L88" i="59" a="1"/>
  <c r="L88" i="59" s="1"/>
  <c r="I88" i="59" a="1"/>
  <c r="I88" i="59" s="1"/>
  <c r="K88" i="59" a="1"/>
  <c r="K88" i="59" s="1"/>
  <c r="G88" i="59" a="1"/>
  <c r="G88" i="59" s="1"/>
  <c r="O88" i="59" a="1"/>
  <c r="O88" i="59" s="1"/>
  <c r="O80" i="59" a="1"/>
  <c r="O80" i="59" s="1"/>
  <c r="L80" i="59" a="1"/>
  <c r="L80" i="59" s="1"/>
  <c r="N80" i="59" a="1"/>
  <c r="N80" i="59" s="1"/>
  <c r="H80" i="59" a="1"/>
  <c r="H80" i="59" s="1"/>
  <c r="J80" i="59" a="1"/>
  <c r="J80" i="59" s="1"/>
  <c r="I80" i="59" a="1"/>
  <c r="I80" i="59" s="1"/>
  <c r="G80" i="59" a="1"/>
  <c r="G80" i="59" s="1"/>
  <c r="K80" i="59" a="1"/>
  <c r="K80" i="59" s="1"/>
  <c r="M80" i="59" a="1"/>
  <c r="M80" i="59" s="1"/>
  <c r="H113" i="59" a="1"/>
  <c r="H113" i="59" s="1"/>
  <c r="N113" i="59" a="1"/>
  <c r="N113" i="59" s="1"/>
  <c r="J113" i="59" a="1"/>
  <c r="J113" i="59" s="1"/>
  <c r="L113" i="59" a="1"/>
  <c r="L113" i="59" s="1"/>
  <c r="G113" i="59" a="1"/>
  <c r="G113" i="59" s="1"/>
  <c r="M113" i="59" a="1"/>
  <c r="M113" i="59" s="1"/>
  <c r="K113" i="59" a="1"/>
  <c r="K113" i="59" s="1"/>
  <c r="O113" i="59" a="1"/>
  <c r="O113" i="59" s="1"/>
  <c r="I113" i="59" a="1"/>
  <c r="I113" i="59" s="1"/>
  <c r="O106" i="59" a="1"/>
  <c r="O106" i="59" s="1"/>
  <c r="N106" i="59" a="1"/>
  <c r="N106" i="59" s="1"/>
  <c r="J106" i="59" a="1"/>
  <c r="J106" i="59" s="1"/>
  <c r="L106" i="59" a="1"/>
  <c r="L106" i="59" s="1"/>
  <c r="H106" i="59" a="1"/>
  <c r="H106" i="59" s="1"/>
  <c r="G106" i="59" a="1"/>
  <c r="G106" i="59" s="1"/>
  <c r="M106" i="59" a="1"/>
  <c r="M106" i="59" s="1"/>
  <c r="K106" i="59" a="1"/>
  <c r="K106" i="59" s="1"/>
  <c r="I106" i="59" a="1"/>
  <c r="I106" i="59" s="1"/>
  <c r="J112" i="59" a="1"/>
  <c r="J112" i="59" s="1"/>
  <c r="O112" i="59" a="1"/>
  <c r="O112" i="59" s="1"/>
  <c r="M112" i="59" a="1"/>
  <c r="M112" i="59" s="1"/>
  <c r="L112" i="59" a="1"/>
  <c r="L112" i="59" s="1"/>
  <c r="I112" i="59" a="1"/>
  <c r="I112" i="59" s="1"/>
  <c r="N112" i="59" a="1"/>
  <c r="N112" i="59" s="1"/>
  <c r="H112" i="59" a="1"/>
  <c r="H112" i="59" s="1"/>
  <c r="G112" i="59" a="1"/>
  <c r="G112" i="59" s="1"/>
  <c r="K112" i="59" a="1"/>
  <c r="K112" i="59" s="1"/>
  <c r="K121" i="59" a="1"/>
  <c r="K121" i="59" s="1"/>
  <c r="H121" i="59" a="1"/>
  <c r="H121" i="59" s="1"/>
  <c r="O121" i="59" a="1"/>
  <c r="O121" i="59" s="1"/>
  <c r="M121" i="59" a="1"/>
  <c r="M121" i="59" s="1"/>
  <c r="I121" i="59" a="1"/>
  <c r="I121" i="59" s="1"/>
  <c r="G121" i="59" a="1"/>
  <c r="G121" i="59" s="1"/>
  <c r="J121" i="59" a="1"/>
  <c r="J121" i="59" s="1"/>
  <c r="N121" i="59" a="1"/>
  <c r="N121" i="59" s="1"/>
  <c r="L121" i="59" a="1"/>
  <c r="L121" i="59" s="1"/>
  <c r="H108" i="59" a="1"/>
  <c r="H108" i="59" s="1"/>
  <c r="L108" i="59" a="1"/>
  <c r="L108" i="59" s="1"/>
  <c r="N108" i="59" a="1"/>
  <c r="N108" i="59" s="1"/>
  <c r="I108" i="59" a="1"/>
  <c r="I108" i="59" s="1"/>
  <c r="M108" i="59" a="1"/>
  <c r="M108" i="59" s="1"/>
  <c r="O108" i="59" a="1"/>
  <c r="O108" i="59" s="1"/>
  <c r="G108" i="59" a="1"/>
  <c r="G108" i="59" s="1"/>
  <c r="J108" i="59" a="1"/>
  <c r="J108" i="59" s="1"/>
  <c r="K108" i="59" a="1"/>
  <c r="K108" i="59" s="1"/>
  <c r="B65" i="54" l="1"/>
  <c r="B597" i="54"/>
  <c r="B699" i="67"/>
  <c r="B155" i="54"/>
  <c r="B624" i="54"/>
  <c r="B935" i="59"/>
  <c r="B60" i="53"/>
  <c r="B70" i="53"/>
  <c r="B605" i="54"/>
  <c r="B83" i="54"/>
  <c r="B571" i="54"/>
  <c r="B228" i="54"/>
  <c r="B102" i="54"/>
  <c r="B967" i="59"/>
  <c r="B61" i="54"/>
  <c r="B359" i="67"/>
  <c r="B448" i="67"/>
  <c r="B100" i="54"/>
  <c r="B697" i="67"/>
  <c r="B365" i="67"/>
  <c r="B60" i="54"/>
  <c r="B360" i="67"/>
  <c r="B152" i="54"/>
  <c r="B113" i="54"/>
  <c r="B225" i="59"/>
  <c r="B839" i="67"/>
  <c r="B246" i="59"/>
  <c r="B48" i="53"/>
  <c r="B81" i="54"/>
  <c r="B243" i="59"/>
  <c r="B224" i="59"/>
  <c r="B62" i="54"/>
  <c r="B240" i="59"/>
  <c r="B691" i="67"/>
  <c r="B240" i="54"/>
  <c r="B162" i="54"/>
  <c r="B856" i="67"/>
  <c r="B233" i="59"/>
  <c r="B63" i="53"/>
  <c r="B76" i="54"/>
  <c r="B62" i="53"/>
  <c r="B234" i="59"/>
  <c r="B104" i="54"/>
  <c r="B47" i="53"/>
  <c r="B138" i="54"/>
  <c r="B69" i="53"/>
  <c r="B121" i="54"/>
  <c r="B533" i="54"/>
  <c r="B318" i="54"/>
  <c r="B722" i="59"/>
  <c r="L336" i="59"/>
  <c r="L812" i="59"/>
  <c r="L1050" i="59"/>
  <c r="L574" i="59"/>
  <c r="B422" i="54"/>
  <c r="B623" i="67"/>
  <c r="B294" i="53"/>
  <c r="B614" i="54"/>
  <c r="B462" i="67"/>
  <c r="B724" i="59"/>
  <c r="B250" i="59"/>
  <c r="B753" i="67"/>
  <c r="B463" i="54"/>
  <c r="B223" i="54"/>
  <c r="B275" i="54"/>
  <c r="B295" i="53"/>
  <c r="B453" i="54"/>
  <c r="B296" i="54"/>
  <c r="B536" i="67"/>
  <c r="B541" i="67"/>
  <c r="B627" i="54"/>
  <c r="B959" i="59"/>
  <c r="B582" i="54"/>
  <c r="B607" i="67"/>
  <c r="B230" i="59"/>
  <c r="B700" i="67"/>
  <c r="B71" i="54"/>
  <c r="B114" i="54"/>
  <c r="B707" i="67"/>
  <c r="B540" i="54"/>
  <c r="B637" i="54"/>
  <c r="B186" i="53"/>
  <c r="B491" i="59"/>
  <c r="B267" i="54"/>
  <c r="B748" i="67"/>
  <c r="B439" i="54"/>
  <c r="B808" i="67"/>
  <c r="B423" i="54"/>
  <c r="B379" i="54"/>
  <c r="B610" i="54"/>
  <c r="B601" i="54"/>
  <c r="B535" i="54"/>
  <c r="B71" i="53"/>
  <c r="B106" i="54"/>
  <c r="B67" i="54"/>
  <c r="B57" i="53"/>
  <c r="B232" i="59"/>
  <c r="B77" i="54"/>
  <c r="B465" i="67"/>
  <c r="B761" i="67"/>
  <c r="B441" i="67"/>
  <c r="B217" i="54"/>
  <c r="B547" i="67"/>
  <c r="B381" i="54"/>
  <c r="B428" i="54"/>
  <c r="B552" i="54"/>
  <c r="B415" i="53"/>
  <c r="B858" i="67"/>
  <c r="B618" i="67"/>
  <c r="B385" i="67"/>
  <c r="B150" i="54"/>
  <c r="B248" i="59"/>
  <c r="B125" i="54"/>
  <c r="B466" i="59"/>
  <c r="B322" i="54"/>
  <c r="B558" i="54"/>
  <c r="B786" i="67"/>
  <c r="B447" i="54"/>
  <c r="B444" i="54"/>
  <c r="B804" i="67"/>
  <c r="B474" i="54"/>
  <c r="B307" i="53"/>
  <c r="B532" i="54"/>
  <c r="B831" i="67"/>
  <c r="B383" i="67"/>
  <c r="B223" i="59"/>
  <c r="B139" i="54"/>
  <c r="B166" i="54"/>
  <c r="B476" i="59"/>
  <c r="B736" i="67"/>
  <c r="B457" i="67"/>
  <c r="B237" i="54"/>
  <c r="B628" i="54"/>
  <c r="B290" i="53"/>
  <c r="B464" i="54"/>
  <c r="B794" i="67"/>
  <c r="B300" i="53"/>
  <c r="B633" i="67"/>
  <c r="B638" i="67"/>
  <c r="B573" i="54"/>
  <c r="B603" i="54"/>
  <c r="B231" i="59"/>
  <c r="B126" i="54"/>
  <c r="B387" i="67"/>
  <c r="B721" i="67"/>
  <c r="B99" i="54"/>
  <c r="B613" i="67"/>
  <c r="B631" i="67"/>
  <c r="B282" i="54"/>
  <c r="B478" i="59"/>
  <c r="B308" i="54"/>
  <c r="B750" i="67"/>
  <c r="B414" i="53"/>
  <c r="B714" i="59"/>
  <c r="B468" i="54"/>
  <c r="B712" i="59"/>
  <c r="B697" i="59"/>
  <c r="B394" i="54"/>
  <c r="B934" i="59"/>
  <c r="B131" i="54"/>
  <c r="B78" i="53"/>
  <c r="B50" i="53"/>
  <c r="B63" i="54"/>
  <c r="B595" i="54"/>
  <c r="B463" i="67"/>
  <c r="B164" i="53"/>
  <c r="B460" i="59"/>
  <c r="B247" i="54"/>
  <c r="B229" i="54"/>
  <c r="B382" i="54"/>
  <c r="B460" i="54"/>
  <c r="B476" i="54"/>
  <c r="B302" i="53"/>
  <c r="B388" i="54"/>
  <c r="B537" i="54"/>
  <c r="B409" i="53"/>
  <c r="B604" i="54"/>
  <c r="B136" i="54"/>
  <c r="B58" i="54"/>
  <c r="B159" i="54"/>
  <c r="B68" i="53"/>
  <c r="B694" i="67"/>
  <c r="B65" i="53"/>
  <c r="B378" i="67"/>
  <c r="B98" i="54"/>
  <c r="B137" i="54"/>
  <c r="B194" i="53"/>
  <c r="B324" i="54"/>
  <c r="B539" i="54"/>
  <c r="B715" i="59"/>
  <c r="B814" i="67"/>
  <c r="B482" i="54"/>
  <c r="B726" i="59"/>
  <c r="B535" i="67"/>
  <c r="B292" i="53"/>
  <c r="B465" i="54"/>
  <c r="B714" i="67"/>
  <c r="B53" i="53"/>
  <c r="B366" i="67"/>
  <c r="B103" i="54"/>
  <c r="B955" i="59"/>
  <c r="B227" i="54"/>
  <c r="B445" i="67"/>
  <c r="B415" i="54"/>
  <c r="B944" i="59"/>
  <c r="B606" i="67"/>
  <c r="B68" i="54"/>
  <c r="B107" i="54"/>
  <c r="B110" i="54"/>
  <c r="B708" i="67"/>
  <c r="B237" i="59"/>
  <c r="B852" i="67"/>
  <c r="B407" i="53"/>
  <c r="B320" i="54"/>
  <c r="B466" i="67"/>
  <c r="B281" i="54"/>
  <c r="B482" i="59"/>
  <c r="B288" i="54"/>
  <c r="B306" i="54"/>
  <c r="B305" i="53"/>
  <c r="B284" i="53"/>
  <c r="B701" i="59"/>
  <c r="B857" i="67"/>
  <c r="B634" i="67"/>
  <c r="B565" i="54"/>
  <c r="B367" i="67"/>
  <c r="B377" i="67"/>
  <c r="B468" i="59"/>
  <c r="B178" i="53"/>
  <c r="B280" i="54"/>
  <c r="B282" i="53"/>
  <c r="B377" i="54"/>
  <c r="B438" i="54"/>
  <c r="B416" i="53"/>
  <c r="B584" i="54"/>
  <c r="B842" i="67"/>
  <c r="B85" i="54"/>
  <c r="B241" i="59"/>
  <c r="B157" i="54"/>
  <c r="B634" i="54"/>
  <c r="B744" i="67"/>
  <c r="B283" i="54"/>
  <c r="B550" i="54"/>
  <c r="B526" i="67"/>
  <c r="B396" i="54"/>
  <c r="B544" i="67"/>
  <c r="B402" i="54"/>
  <c r="B948" i="59"/>
  <c r="B151" i="54"/>
  <c r="B112" i="54"/>
  <c r="B373" i="67"/>
  <c r="B259" i="54"/>
  <c r="B273" i="54"/>
  <c r="B294" i="54"/>
  <c r="B272" i="54"/>
  <c r="B461" i="67"/>
  <c r="B533" i="67"/>
  <c r="B424" i="54"/>
  <c r="B473" i="54"/>
  <c r="B803" i="67"/>
  <c r="B936" i="59"/>
  <c r="B428" i="53"/>
  <c r="B108" i="54"/>
  <c r="B165" i="54"/>
  <c r="B249" i="59"/>
  <c r="B719" i="67"/>
  <c r="B128" i="54"/>
  <c r="B544" i="54"/>
  <c r="B855" i="67"/>
  <c r="B465" i="59"/>
  <c r="B952" i="59"/>
  <c r="B538" i="67"/>
  <c r="B61" i="53"/>
  <c r="B706" i="67"/>
  <c r="B92" i="54"/>
  <c r="B168" i="54"/>
  <c r="B91" i="54"/>
  <c r="B608" i="67"/>
  <c r="B225" i="54"/>
  <c r="B268" i="54"/>
  <c r="B749" i="67"/>
  <c r="B421" i="54"/>
  <c r="B303" i="53"/>
  <c r="B591" i="54"/>
  <c r="B560" i="54"/>
  <c r="B548" i="54"/>
  <c r="B421" i="53"/>
  <c r="B572" i="54"/>
  <c r="B120" i="54"/>
  <c r="B101" i="54"/>
  <c r="B297" i="54"/>
  <c r="B472" i="67"/>
  <c r="B222" i="54"/>
  <c r="B300" i="54"/>
  <c r="B285" i="54"/>
  <c r="B846" i="67"/>
  <c r="B393" i="54"/>
  <c r="B445" i="54"/>
  <c r="B404" i="54"/>
  <c r="B709" i="59"/>
  <c r="B406" i="53"/>
  <c r="B410" i="53"/>
  <c r="B105" i="54"/>
  <c r="B473" i="59"/>
  <c r="B451" i="67"/>
  <c r="B747" i="67"/>
  <c r="B305" i="54"/>
  <c r="B260" i="54"/>
  <c r="B696" i="59"/>
  <c r="B784" i="67"/>
  <c r="B481" i="54"/>
  <c r="B285" i="53"/>
  <c r="B581" i="54"/>
  <c r="B561" i="54"/>
  <c r="B585" i="54"/>
  <c r="B58" i="53"/>
  <c r="B188" i="53"/>
  <c r="B327" i="54"/>
  <c r="B769" i="67"/>
  <c r="B452" i="67"/>
  <c r="B626" i="67"/>
  <c r="B400" i="54"/>
  <c r="B478" i="54"/>
  <c r="B791" i="67"/>
  <c r="B418" i="54"/>
  <c r="B953" i="59"/>
  <c r="B844" i="67"/>
  <c r="B829" i="67"/>
  <c r="B54" i="53"/>
  <c r="B702" i="67"/>
  <c r="B148" i="54"/>
  <c r="B116" i="54"/>
  <c r="B615" i="67"/>
  <c r="B265" i="54"/>
  <c r="B310" i="54"/>
  <c r="B232" i="54"/>
  <c r="B319" i="54"/>
  <c r="B163" i="53"/>
  <c r="B459" i="59"/>
  <c r="B525" i="67"/>
  <c r="B789" i="67"/>
  <c r="B459" i="54"/>
  <c r="B420" i="54"/>
  <c r="B537" i="67"/>
  <c r="B389" i="54"/>
  <c r="B614" i="67"/>
  <c r="B545" i="54"/>
  <c r="B594" i="54"/>
  <c r="B66" i="53"/>
  <c r="B704" i="67"/>
  <c r="B164" i="54"/>
  <c r="B73" i="53"/>
  <c r="B628" i="67"/>
  <c r="B170" i="53"/>
  <c r="B486" i="59"/>
  <c r="B480" i="59"/>
  <c r="B700" i="59"/>
  <c r="B730" i="59"/>
  <c r="B405" i="54"/>
  <c r="B550" i="67"/>
  <c r="B861" i="67"/>
  <c r="B73" i="54"/>
  <c r="B361" i="67"/>
  <c r="B720" i="67"/>
  <c r="B592" i="54"/>
  <c r="B754" i="67"/>
  <c r="B180" i="53"/>
  <c r="B475" i="59"/>
  <c r="B183" i="53"/>
  <c r="B479" i="59"/>
  <c r="B534" i="67"/>
  <c r="B386" i="54"/>
  <c r="B543" i="67"/>
  <c r="B555" i="67"/>
  <c r="B562" i="54"/>
  <c r="B546" i="54"/>
  <c r="B957" i="59"/>
  <c r="B227" i="59"/>
  <c r="B56" i="53"/>
  <c r="B251" i="59"/>
  <c r="B222" i="59"/>
  <c r="B616" i="67"/>
  <c r="B763" i="67"/>
  <c r="B470" i="54"/>
  <c r="B540" i="67"/>
  <c r="B469" i="54"/>
  <c r="B430" i="54"/>
  <c r="B280" i="53"/>
  <c r="B433" i="54"/>
  <c r="B425" i="53"/>
  <c r="B129" i="54"/>
  <c r="B695" i="67"/>
  <c r="B363" i="67"/>
  <c r="B849" i="67"/>
  <c r="B767" i="67"/>
  <c r="B325" i="54"/>
  <c r="B471" i="67"/>
  <c r="B545" i="67"/>
  <c r="B396" i="53"/>
  <c r="B862" i="67"/>
  <c r="B574" i="54"/>
  <c r="B966" i="59"/>
  <c r="B97" i="54"/>
  <c r="B45" i="53"/>
  <c r="B381" i="67"/>
  <c r="B221" i="59"/>
  <c r="B405" i="53"/>
  <c r="B536" i="54"/>
  <c r="B739" i="67"/>
  <c r="B326" i="54"/>
  <c r="B742" i="67"/>
  <c r="B446" i="67"/>
  <c r="B432" i="54"/>
  <c r="B728" i="59"/>
  <c r="B309" i="53"/>
  <c r="B845" i="67"/>
  <c r="E56" i="79"/>
  <c r="H56" i="79"/>
  <c r="F56" i="79"/>
  <c r="G56" i="79"/>
  <c r="B555" i="54"/>
  <c r="B698" i="67"/>
  <c r="B51" i="53"/>
  <c r="B67" i="53"/>
  <c r="B221" i="54"/>
  <c r="B284" i="54"/>
  <c r="B622" i="67"/>
  <c r="B374" i="54"/>
  <c r="B454" i="54"/>
  <c r="B191" i="53"/>
  <c r="B452" i="54"/>
  <c r="B281" i="53"/>
  <c r="B551" i="67"/>
  <c r="B458" i="54"/>
  <c r="B951" i="59"/>
  <c r="B304" i="53"/>
  <c r="B968" i="59"/>
  <c r="B196" i="53"/>
  <c r="B417" i="54"/>
  <c r="B600" i="54"/>
  <c r="B233" i="54"/>
  <c r="B385" i="54"/>
  <c r="B641" i="54"/>
  <c r="B467" i="67"/>
  <c r="B472" i="59"/>
  <c r="B523" i="67"/>
  <c r="B79" i="53"/>
  <c r="B738" i="67"/>
  <c r="B475" i="54"/>
  <c r="B627" i="67"/>
  <c r="B168" i="53"/>
  <c r="E43" i="79"/>
  <c r="H43" i="79"/>
  <c r="G43" i="79"/>
  <c r="F43" i="79"/>
  <c r="B963" i="59"/>
  <c r="B158" i="54"/>
  <c r="B599" i="54"/>
  <c r="B833" i="67"/>
  <c r="B617" i="67"/>
  <c r="B605" i="67"/>
  <c r="B55" i="53"/>
  <c r="B149" i="54"/>
  <c r="B703" i="67"/>
  <c r="B238" i="59"/>
  <c r="B75" i="54"/>
  <c r="B625" i="67"/>
  <c r="B762" i="67"/>
  <c r="B249" i="54"/>
  <c r="B473" i="67"/>
  <c r="B531" i="67"/>
  <c r="B457" i="54"/>
  <c r="B787" i="67"/>
  <c r="B620" i="54"/>
  <c r="B853" i="67"/>
  <c r="B384" i="67"/>
  <c r="B716" i="67"/>
  <c r="B408" i="53"/>
  <c r="B304" i="54"/>
  <c r="B752" i="67"/>
  <c r="B474" i="59"/>
  <c r="B241" i="54"/>
  <c r="B632" i="54"/>
  <c r="B416" i="54"/>
  <c r="B807" i="67"/>
  <c r="B529" i="67"/>
  <c r="B629" i="67"/>
  <c r="B247" i="59"/>
  <c r="B79" i="54"/>
  <c r="B711" i="67"/>
  <c r="B111" i="54"/>
  <c r="B86" i="54"/>
  <c r="B946" i="59"/>
  <c r="B621" i="54"/>
  <c r="B492" i="59"/>
  <c r="B263" i="54"/>
  <c r="B238" i="54"/>
  <c r="B283" i="53"/>
  <c r="B813" i="67"/>
  <c r="B962" i="59"/>
  <c r="B640" i="54"/>
  <c r="B841" i="67"/>
  <c r="B564" i="54"/>
  <c r="B715" i="67"/>
  <c r="B693" i="67"/>
  <c r="B127" i="54"/>
  <c r="B740" i="67"/>
  <c r="B444" i="67"/>
  <c r="B312" i="54"/>
  <c r="B276" i="54"/>
  <c r="B315" i="54"/>
  <c r="B941" i="59"/>
  <c r="B549" i="67"/>
  <c r="B793" i="67"/>
  <c r="B407" i="54"/>
  <c r="B939" i="59"/>
  <c r="B429" i="53"/>
  <c r="B147" i="54"/>
  <c r="B369" i="67"/>
  <c r="B389" i="67"/>
  <c r="B692" i="67"/>
  <c r="B400" i="53"/>
  <c r="B447" i="67"/>
  <c r="B189" i="53"/>
  <c r="B181" i="53"/>
  <c r="B755" i="67"/>
  <c r="B236" i="54"/>
  <c r="B460" i="67"/>
  <c r="B230" i="54"/>
  <c r="B297" i="53"/>
  <c r="B392" i="54"/>
  <c r="B429" i="54"/>
  <c r="B539" i="67"/>
  <c r="B799" i="67"/>
  <c r="B542" i="67"/>
  <c r="B638" i="54"/>
  <c r="B426" i="53"/>
  <c r="B940" i="59"/>
  <c r="B374" i="67"/>
  <c r="B236" i="59"/>
  <c r="B252" i="59"/>
  <c r="B90" i="54"/>
  <c r="B253" i="59"/>
  <c r="B130" i="54"/>
  <c r="B169" i="54"/>
  <c r="B843" i="67"/>
  <c r="B239" i="54"/>
  <c r="B278" i="54"/>
  <c r="B303" i="54"/>
  <c r="B453" i="67"/>
  <c r="B307" i="54"/>
  <c r="B403" i="53"/>
  <c r="B790" i="67"/>
  <c r="B398" i="54"/>
  <c r="B466" i="54"/>
  <c r="B796" i="67"/>
  <c r="B830" i="67"/>
  <c r="B419" i="53"/>
  <c r="B140" i="54"/>
  <c r="B78" i="54"/>
  <c r="B46" i="53"/>
  <c r="B949" i="59"/>
  <c r="B248" i="54"/>
  <c r="B192" i="53"/>
  <c r="B470" i="67"/>
  <c r="B471" i="54"/>
  <c r="B795" i="67"/>
  <c r="B632" i="67"/>
  <c r="B616" i="54"/>
  <c r="B228" i="59"/>
  <c r="B364" i="67"/>
  <c r="B80" i="54"/>
  <c r="B622" i="54"/>
  <c r="B945" i="59"/>
  <c r="B309" i="54"/>
  <c r="B173" i="53"/>
  <c r="B299" i="54"/>
  <c r="B487" i="59"/>
  <c r="B413" i="54"/>
  <c r="B524" i="67"/>
  <c r="B811" i="67"/>
  <c r="B419" i="54"/>
  <c r="B549" i="54"/>
  <c r="B383" i="54"/>
  <c r="B456" i="67"/>
  <c r="B474" i="67"/>
  <c r="B277" i="54"/>
  <c r="B301" i="53"/>
  <c r="B623" i="54"/>
  <c r="B458" i="67"/>
  <c r="B956" i="59"/>
  <c r="B291" i="53"/>
  <c r="B76" i="53"/>
  <c r="B313" i="54"/>
  <c r="B798" i="67"/>
  <c r="B299" i="53"/>
  <c r="B286" i="54"/>
  <c r="B710" i="59"/>
  <c r="B553" i="54"/>
  <c r="B488" i="59"/>
  <c r="B469" i="59"/>
  <c r="B847" i="67"/>
  <c r="B587" i="54"/>
  <c r="B557" i="54"/>
  <c r="B611" i="54"/>
  <c r="B371" i="67"/>
  <c r="B376" i="67"/>
  <c r="B631" i="54"/>
  <c r="B242" i="54"/>
  <c r="B464" i="67"/>
  <c r="B548" i="67"/>
  <c r="B706" i="59"/>
  <c r="B532" i="67"/>
  <c r="B288" i="53"/>
  <c r="B527" i="67"/>
  <c r="B412" i="53"/>
  <c r="B538" i="54"/>
  <c r="B109" i="54"/>
  <c r="B239" i="59"/>
  <c r="B836" i="67"/>
  <c r="B737" i="67"/>
  <c r="B611" i="67"/>
  <c r="B785" i="67"/>
  <c r="B477" i="54"/>
  <c r="B797" i="67"/>
  <c r="B59" i="53"/>
  <c r="B372" i="67"/>
  <c r="B386" i="67"/>
  <c r="B840" i="67"/>
  <c r="B250" i="54"/>
  <c r="B764" i="67"/>
  <c r="B758" i="67"/>
  <c r="B456" i="54"/>
  <c r="B408" i="54"/>
  <c r="B718" i="59"/>
  <c r="B480" i="54"/>
  <c r="B810" i="67"/>
  <c r="B551" i="54"/>
  <c r="B401" i="53"/>
  <c r="B596" i="54"/>
  <c r="B860" i="67"/>
  <c r="B161" i="54"/>
  <c r="B75" i="53"/>
  <c r="B220" i="54"/>
  <c r="B462" i="59"/>
  <c r="B234" i="54"/>
  <c r="B162" i="53"/>
  <c r="B458" i="59"/>
  <c r="B179" i="53"/>
  <c r="B835" i="67"/>
  <c r="B708" i="59"/>
  <c r="B717" i="59"/>
  <c r="B446" i="54"/>
  <c r="B815" i="67"/>
  <c r="B848" i="67"/>
  <c r="B950" i="59"/>
  <c r="B643" i="54"/>
  <c r="B143" i="54"/>
  <c r="B87" i="54"/>
  <c r="B89" i="54"/>
  <c r="B167" i="54"/>
  <c r="B575" i="54"/>
  <c r="B169" i="53"/>
  <c r="B477" i="59"/>
  <c r="B314" i="54"/>
  <c r="B269" i="54"/>
  <c r="B800" i="67"/>
  <c r="B296" i="53"/>
  <c r="B375" i="54"/>
  <c r="B472" i="54"/>
  <c r="B802" i="67"/>
  <c r="B629" i="54"/>
  <c r="B834" i="67"/>
  <c r="B170" i="54"/>
  <c r="B77" i="53"/>
  <c r="B723" i="67"/>
  <c r="B141" i="54"/>
  <c r="B559" i="54"/>
  <c r="B481" i="59"/>
  <c r="B489" i="59"/>
  <c r="B467" i="59"/>
  <c r="B175" i="53"/>
  <c r="B636" i="54"/>
  <c r="B546" i="67"/>
  <c r="B805" i="67"/>
  <c r="B633" i="54"/>
  <c r="B49" i="53"/>
  <c r="B710" i="67"/>
  <c r="B547" i="54"/>
  <c r="B219" i="54"/>
  <c r="B768" i="67"/>
  <c r="B766" i="67"/>
  <c r="B801" i="67"/>
  <c r="B484" i="54"/>
  <c r="B311" i="53"/>
  <c r="B552" i="67"/>
  <c r="B812" i="67"/>
  <c r="B426" i="54"/>
  <c r="B576" i="54"/>
  <c r="B402" i="53"/>
  <c r="B160" i="54"/>
  <c r="B244" i="59"/>
  <c r="B144" i="54"/>
  <c r="B142" i="54"/>
  <c r="B242" i="59"/>
  <c r="B612" i="67"/>
  <c r="B270" i="54"/>
  <c r="B266" i="54"/>
  <c r="B463" i="59"/>
  <c r="B765" i="67"/>
  <c r="B418" i="53"/>
  <c r="B376" i="54"/>
  <c r="B702" i="59"/>
  <c r="B954" i="59"/>
  <c r="B289" i="53"/>
  <c r="B947" i="59"/>
  <c r="B943" i="59"/>
  <c r="B838" i="67"/>
  <c r="B635" i="54"/>
  <c r="B328" i="54"/>
  <c r="B553" i="67"/>
  <c r="B166" i="53"/>
  <c r="B809" i="67"/>
  <c r="B312" i="53"/>
  <c r="B637" i="67"/>
  <c r="B404" i="53"/>
  <c r="B182" i="53"/>
  <c r="B713" i="59"/>
  <c r="B424" i="53"/>
  <c r="B722" i="67"/>
  <c r="B759" i="67"/>
  <c r="B593" i="54"/>
  <c r="B720" i="59"/>
  <c r="B534" i="54"/>
  <c r="B837" i="67"/>
  <c r="B464" i="59"/>
  <c r="B580" i="54"/>
  <c r="B563" i="54"/>
  <c r="B644" i="54"/>
  <c r="B577" i="54"/>
  <c r="B368" i="67"/>
  <c r="B154" i="54"/>
  <c r="B375" i="67"/>
  <c r="B153" i="54"/>
  <c r="B586" i="54"/>
  <c r="B760" i="67"/>
  <c r="B279" i="54"/>
  <c r="B195" i="53"/>
  <c r="B462" i="54"/>
  <c r="B384" i="54"/>
  <c r="B461" i="54"/>
  <c r="B705" i="59"/>
  <c r="B413" i="53"/>
  <c r="B84" i="54"/>
  <c r="B145" i="54"/>
  <c r="B70" i="54"/>
  <c r="B618" i="54"/>
  <c r="B172" i="53"/>
  <c r="B450" i="67"/>
  <c r="B187" i="53"/>
  <c r="B256" i="54"/>
  <c r="B578" i="54"/>
  <c r="B703" i="59"/>
  <c r="B711" i="59"/>
  <c r="B467" i="54"/>
  <c r="B636" i="67"/>
  <c r="B124" i="54"/>
  <c r="B163" i="54"/>
  <c r="B379" i="67"/>
  <c r="B579" i="54"/>
  <c r="B224" i="54"/>
  <c r="B302" i="54"/>
  <c r="B468" i="67"/>
  <c r="B190" i="53"/>
  <c r="B244" i="54"/>
  <c r="B378" i="54"/>
  <c r="B486" i="54"/>
  <c r="B816" i="67"/>
  <c r="B727" i="59"/>
  <c r="B590" i="54"/>
  <c r="B851" i="67"/>
  <c r="B235" i="59"/>
  <c r="B245" i="59"/>
  <c r="B122" i="54"/>
  <c r="B388" i="67"/>
  <c r="B298" i="54"/>
  <c r="B216" i="54"/>
  <c r="B440" i="67"/>
  <c r="B960" i="59"/>
  <c r="B401" i="54"/>
  <c r="B306" i="53"/>
  <c r="B425" i="54"/>
  <c r="B434" i="54"/>
  <c r="B485" i="54"/>
  <c r="B542" i="54"/>
  <c r="B620" i="67"/>
  <c r="B397" i="53"/>
  <c r="B52" i="53"/>
  <c r="B74" i="53"/>
  <c r="B625" i="54"/>
  <c r="B485" i="59"/>
  <c r="B274" i="54"/>
  <c r="B459" i="67"/>
  <c r="B850" i="67"/>
  <c r="B390" i="54"/>
  <c r="B783" i="67"/>
  <c r="B716" i="59"/>
  <c r="B624" i="67"/>
  <c r="B635" i="67"/>
  <c r="B613" i="54"/>
  <c r="B74" i="54"/>
  <c r="B391" i="67"/>
  <c r="B583" i="54"/>
  <c r="B598" i="54"/>
  <c r="B317" i="54"/>
  <c r="B257" i="54"/>
  <c r="B442" i="67"/>
  <c r="B193" i="53"/>
  <c r="B449" i="67"/>
  <c r="B471" i="59"/>
  <c r="B422" i="53"/>
  <c r="B287" i="53"/>
  <c r="B437" i="54"/>
  <c r="B397" i="54"/>
  <c r="B293" i="53"/>
  <c r="B220" i="59"/>
  <c r="B690" i="67"/>
  <c r="B713" i="67"/>
  <c r="B156" i="54"/>
  <c r="B59" i="54"/>
  <c r="B420" i="53"/>
  <c r="B961" i="59"/>
  <c r="B165" i="53"/>
  <c r="B490" i="59"/>
  <c r="B261" i="54"/>
  <c r="B246" i="54"/>
  <c r="B554" i="67"/>
  <c r="B828" i="67"/>
  <c r="B626" i="54"/>
  <c r="B399" i="53"/>
  <c r="B66" i="54"/>
  <c r="B64" i="54"/>
  <c r="B696" i="67"/>
  <c r="B712" i="67"/>
  <c r="B119" i="54"/>
  <c r="B832" i="67"/>
  <c r="B455" i="67"/>
  <c r="B231" i="54"/>
  <c r="B167" i="53"/>
  <c r="B323" i="54"/>
  <c r="B554" i="54"/>
  <c r="B522" i="67"/>
  <c r="B308" i="53"/>
  <c r="B403" i="54"/>
  <c r="B788" i="67"/>
  <c r="B528" i="67"/>
  <c r="B380" i="54"/>
  <c r="B630" i="54"/>
  <c r="B399" i="54"/>
  <c r="B859" i="67"/>
  <c r="B619" i="54"/>
  <c r="B310" i="53"/>
  <c r="B440" i="54"/>
  <c r="B729" i="59"/>
  <c r="B964" i="59"/>
  <c r="B262" i="54"/>
  <c r="B454" i="67"/>
  <c r="B391" i="54"/>
  <c r="B411" i="53"/>
  <c r="B171" i="53"/>
  <c r="B806" i="67"/>
  <c r="B298" i="53"/>
  <c r="B430" i="53"/>
  <c r="B937" i="59"/>
  <c r="B146" i="54"/>
  <c r="B115" i="54"/>
  <c r="B423" i="53"/>
  <c r="B484" i="59"/>
  <c r="B470" i="59"/>
  <c r="B174" i="53"/>
  <c r="B792" i="67"/>
  <c r="B621" i="67"/>
  <c r="B123" i="54"/>
  <c r="B229" i="59"/>
  <c r="B370" i="67"/>
  <c r="B709" i="67"/>
  <c r="B64" i="53"/>
  <c r="B938" i="59"/>
  <c r="B226" i="54"/>
  <c r="B746" i="67"/>
  <c r="B271" i="54"/>
  <c r="B483" i="59"/>
  <c r="B295" i="54"/>
  <c r="B699" i="59"/>
  <c r="B455" i="54"/>
  <c r="B721" i="59"/>
  <c r="B286" i="53"/>
  <c r="B588" i="54"/>
  <c r="B639" i="54"/>
  <c r="B398" i="53"/>
  <c r="B642" i="54"/>
  <c r="B717" i="67"/>
  <c r="B72" i="53"/>
  <c r="B118" i="54"/>
  <c r="B72" i="54"/>
  <c r="B718" i="67"/>
  <c r="B770" i="67"/>
  <c r="B289" i="54"/>
  <c r="B316" i="54"/>
  <c r="B184" i="53"/>
  <c r="B854" i="67"/>
  <c r="B556" i="67"/>
  <c r="B313" i="53"/>
  <c r="B483" i="54"/>
  <c r="B435" i="54"/>
  <c r="B441" i="54"/>
  <c r="B602" i="54"/>
  <c r="B705" i="67"/>
  <c r="B88" i="54"/>
  <c r="B958" i="59"/>
  <c r="B255" i="54"/>
  <c r="B311" i="54"/>
  <c r="B757" i="67"/>
  <c r="B589" i="54"/>
  <c r="B479" i="54"/>
  <c r="B723" i="59"/>
  <c r="B707" i="59"/>
  <c r="B395" i="54"/>
  <c r="B566" i="54"/>
  <c r="B610" i="67"/>
  <c r="B69" i="54"/>
  <c r="B701" i="67"/>
  <c r="B541" i="54"/>
  <c r="B619" i="67"/>
  <c r="B301" i="54"/>
  <c r="B743" i="67"/>
  <c r="B321" i="54"/>
  <c r="B243" i="54"/>
  <c r="B235" i="54"/>
  <c r="B756" i="67"/>
  <c r="B176" i="53"/>
  <c r="B617" i="54"/>
  <c r="B431" i="54"/>
  <c r="B414" i="54"/>
  <c r="B604" i="67"/>
  <c r="B427" i="53"/>
  <c r="B609" i="67"/>
  <c r="B612" i="54"/>
  <c r="B254" i="59"/>
  <c r="B724" i="67"/>
  <c r="B392" i="67"/>
  <c r="B390" i="67"/>
  <c r="B942" i="59"/>
  <c r="B185" i="53"/>
  <c r="B218" i="54"/>
  <c r="B264" i="54"/>
  <c r="B745" i="67"/>
  <c r="B704" i="59"/>
  <c r="B530" i="67"/>
  <c r="B436" i="54"/>
  <c r="B719" i="59"/>
  <c r="B427" i="54"/>
  <c r="B615" i="54"/>
  <c r="B358" i="67"/>
  <c r="B362" i="67"/>
  <c r="B117" i="54"/>
  <c r="B556" i="54"/>
  <c r="B543" i="54"/>
  <c r="B461" i="59"/>
  <c r="B443" i="67"/>
  <c r="B258" i="54"/>
  <c r="B287" i="54"/>
  <c r="B406" i="54"/>
  <c r="B443" i="54"/>
  <c r="B387" i="54"/>
  <c r="B965" i="59"/>
  <c r="B382" i="67"/>
  <c r="B82" i="54"/>
  <c r="B226" i="59"/>
  <c r="B380" i="67"/>
  <c r="B417" i="53"/>
  <c r="B177" i="53"/>
  <c r="B751" i="67"/>
  <c r="B741" i="67"/>
  <c r="B245" i="54"/>
  <c r="B469" i="67"/>
  <c r="B630" i="67"/>
  <c r="B782" i="67"/>
  <c r="B279" i="53"/>
  <c r="B698" i="59"/>
  <c r="B442" i="54"/>
  <c r="B725" i="59"/>
  <c r="M195" i="68" l="1"/>
  <c r="M218" i="68"/>
  <c r="G195" i="68"/>
  <c r="G217" i="68"/>
  <c r="G218" i="68"/>
  <c r="K195" i="68"/>
  <c r="K218" i="68"/>
  <c r="K217" i="68" l="1"/>
  <c r="M217" i="68"/>
  <c r="I517" i="67"/>
  <c r="I353" i="67"/>
  <c r="I435" i="67"/>
  <c r="I599" i="67"/>
  <c r="M353" i="67"/>
  <c r="M517" i="67"/>
  <c r="M435" i="67"/>
  <c r="M599" i="67"/>
  <c r="O435" i="67"/>
  <c r="O517" i="67"/>
  <c r="O353" i="67"/>
  <c r="O599" i="67"/>
  <c r="D217" i="68" l="1"/>
  <c r="D11" i="49" s="1"/>
  <c r="E5" i="49" s="1"/>
  <c r="K259" i="53" l="1" a="1"/>
  <c r="K259" i="53" s="1"/>
  <c r="J142" i="53" a="1"/>
  <c r="J142" i="53" s="1"/>
  <c r="G384" i="53" a="1"/>
  <c r="G384" i="53" s="1"/>
  <c r="K144" i="53" a="1"/>
  <c r="K144" i="53" s="1"/>
  <c r="K126" i="53" a="1"/>
  <c r="K126" i="53" s="1"/>
  <c r="K135" i="53" a="1"/>
  <c r="K135" i="53" s="1"/>
  <c r="H10" i="53" a="1"/>
  <c r="H10" i="53" s="1"/>
  <c r="I383" i="53" a="1"/>
  <c r="I383" i="53" s="1"/>
  <c r="K366" i="53" a="1"/>
  <c r="K366" i="53" s="1"/>
  <c r="L383" i="53" a="1"/>
  <c r="L383" i="53" s="1"/>
  <c r="L26" i="53" a="1"/>
  <c r="L26" i="53" s="1"/>
  <c r="L130" i="53" a="1"/>
  <c r="L130" i="53" s="1"/>
  <c r="J251" i="53" a="1"/>
  <c r="J251" i="53" s="1"/>
  <c r="K132" i="53" a="1"/>
  <c r="K132" i="53" s="1"/>
  <c r="G386" i="53" a="1"/>
  <c r="G386" i="53" s="1"/>
  <c r="J243" i="53" a="1"/>
  <c r="J243" i="53" s="1"/>
  <c r="K371" i="53" a="1"/>
  <c r="K371" i="53" s="1"/>
  <c r="J250" i="53" a="1"/>
  <c r="J250" i="53" s="1"/>
  <c r="K363" i="53" a="1"/>
  <c r="K363" i="53" s="1"/>
  <c r="K18" i="53" a="1"/>
  <c r="K18" i="53" s="1"/>
  <c r="K36" i="53" a="1"/>
  <c r="K36" i="53" s="1"/>
  <c r="G39" i="53" a="1"/>
  <c r="G39" i="53" s="1"/>
  <c r="K389" i="53" a="1"/>
  <c r="K389" i="53" s="1"/>
  <c r="L23" i="53" a="1"/>
  <c r="L23" i="53" s="1"/>
  <c r="H389" i="53" a="1"/>
  <c r="H389" i="53" s="1"/>
  <c r="K28" i="53" a="1"/>
  <c r="K28" i="53" s="1"/>
  <c r="H137" i="53" a="1"/>
  <c r="H137" i="53" s="1"/>
  <c r="J376" i="53" a="1"/>
  <c r="J376" i="53" s="1"/>
  <c r="K384" i="53" a="1"/>
  <c r="K384" i="53" s="1"/>
  <c r="H37" i="53" a="1"/>
  <c r="H37" i="53" s="1"/>
  <c r="G138" i="53" a="1"/>
  <c r="G138" i="53" s="1"/>
  <c r="K252" i="53" a="1"/>
  <c r="K252" i="53" s="1"/>
  <c r="G366" i="53" a="1"/>
  <c r="G366" i="53" s="1"/>
  <c r="I156" i="53" a="1"/>
  <c r="I156" i="53" s="1"/>
  <c r="G32" i="53" a="1"/>
  <c r="G32" i="53" s="1"/>
  <c r="J151" i="53" a="1"/>
  <c r="J151" i="53" s="1"/>
  <c r="K362" i="53" a="1"/>
  <c r="K362" i="53" s="1"/>
  <c r="H143" i="53" a="1"/>
  <c r="H143" i="53" s="1"/>
  <c r="I260" i="53" a="1"/>
  <c r="I260" i="53" s="1"/>
  <c r="I269" i="53" a="1"/>
  <c r="I269" i="53" s="1"/>
  <c r="K369" i="53" a="1"/>
  <c r="K369" i="53" s="1"/>
  <c r="I12" i="53" a="1"/>
  <c r="I12" i="53" s="1"/>
  <c r="L264" i="53" a="1"/>
  <c r="L264" i="53" s="1"/>
  <c r="I134" i="53" a="1"/>
  <c r="I134" i="53" s="1"/>
  <c r="L156" i="53" a="1"/>
  <c r="L156" i="53" s="1"/>
  <c r="H384" i="53" a="1"/>
  <c r="H384" i="53" s="1"/>
  <c r="H262" i="53" a="1"/>
  <c r="H262" i="53" s="1"/>
  <c r="L33" i="53" a="1"/>
  <c r="L33" i="53" s="1"/>
  <c r="K388" i="53" a="1"/>
  <c r="K388" i="53" s="1"/>
  <c r="I360" i="53" a="1"/>
  <c r="I360" i="53" s="1"/>
  <c r="J147" i="53" a="1"/>
  <c r="J147" i="53" s="1"/>
  <c r="H155" i="53" a="1"/>
  <c r="H155" i="53" s="1"/>
  <c r="H135" i="53" a="1"/>
  <c r="H135" i="53" s="1"/>
  <c r="L28" i="53" a="1"/>
  <c r="L28" i="53" s="1"/>
  <c r="H383" i="53" a="1"/>
  <c r="H383" i="53" s="1"/>
  <c r="I41" i="53" a="1"/>
  <c r="I41" i="53" s="1"/>
  <c r="I248" i="53" a="1"/>
  <c r="I248" i="53" s="1"/>
  <c r="J249" i="53" a="1"/>
  <c r="J249" i="53" s="1"/>
  <c r="H382" i="53" a="1"/>
  <c r="H382" i="53" s="1"/>
  <c r="H271" i="53" a="1"/>
  <c r="H271" i="53" s="1"/>
  <c r="L126" i="53" a="1"/>
  <c r="L126" i="53" s="1"/>
  <c r="I264" i="53" a="1"/>
  <c r="I264" i="53" s="1"/>
  <c r="K156" i="53" a="1"/>
  <c r="K156" i="53" s="1"/>
  <c r="H358" i="53" a="1"/>
  <c r="H358" i="53" s="1"/>
  <c r="L25" i="53" a="1"/>
  <c r="L25" i="53" s="1"/>
  <c r="L241" i="53" a="1"/>
  <c r="L241" i="53" s="1"/>
  <c r="I7" i="53" a="1"/>
  <c r="I7" i="53" s="1"/>
  <c r="K24" i="53" a="1"/>
  <c r="K24" i="53" s="1"/>
  <c r="K37" i="53" a="1"/>
  <c r="K37" i="53" s="1"/>
  <c r="J21" i="53" a="1"/>
  <c r="J21" i="53" s="1"/>
  <c r="K39" i="53" a="1"/>
  <c r="K39" i="53" s="1"/>
  <c r="L254" i="53" a="1"/>
  <c r="L254" i="53" s="1"/>
  <c r="J254" i="53" a="1"/>
  <c r="J254" i="53" s="1"/>
  <c r="J125" i="53" a="1"/>
  <c r="J125" i="53" s="1"/>
  <c r="H255" i="53" a="1"/>
  <c r="H255" i="53" s="1"/>
  <c r="K147" i="53" a="1"/>
  <c r="K147" i="53" s="1"/>
  <c r="L143" i="53" a="1"/>
  <c r="L143" i="53" s="1"/>
  <c r="L148" i="53" a="1"/>
  <c r="L148" i="53" s="1"/>
  <c r="H29" i="53" a="1"/>
  <c r="H29" i="53" s="1"/>
  <c r="J132" i="53" a="1"/>
  <c r="J132" i="53" s="1"/>
  <c r="H14" i="53" a="1"/>
  <c r="H14" i="53" s="1"/>
  <c r="K244" i="53" a="1"/>
  <c r="K244" i="53" s="1"/>
  <c r="K140" i="53" a="1"/>
  <c r="K140" i="53" s="1"/>
  <c r="H269" i="53" a="1"/>
  <c r="H269" i="53" s="1"/>
  <c r="H243" i="53" a="1"/>
  <c r="H243" i="53" s="1"/>
  <c r="H30" i="53" a="1"/>
  <c r="H30" i="53" s="1"/>
  <c r="G376" i="53" a="1"/>
  <c r="G376" i="53" s="1"/>
  <c r="J150" i="53" a="1"/>
  <c r="J150" i="53" s="1"/>
  <c r="L365" i="53" a="1"/>
  <c r="L365" i="53" s="1"/>
  <c r="K152" i="53" a="1"/>
  <c r="K152" i="53" s="1"/>
  <c r="G22" i="53" a="1"/>
  <c r="G22" i="53" s="1"/>
  <c r="G145" i="53" a="1"/>
  <c r="G145" i="53" s="1"/>
  <c r="H34" i="53" a="1"/>
  <c r="H34" i="53" s="1"/>
  <c r="L367" i="53" a="1"/>
  <c r="L367" i="53" s="1"/>
  <c r="H20" i="53" a="1"/>
  <c r="H20" i="53" s="1"/>
  <c r="G361" i="53" a="1"/>
  <c r="G361" i="53" s="1"/>
  <c r="K23" i="53" a="1"/>
  <c r="K23" i="53" s="1"/>
  <c r="I362" i="53" a="1"/>
  <c r="I362" i="53" s="1"/>
  <c r="J11" i="53" a="1"/>
  <c r="J11" i="53" s="1"/>
  <c r="K270" i="53" a="1"/>
  <c r="K270" i="53" s="1"/>
  <c r="J133" i="53" a="1"/>
  <c r="J133" i="53" s="1"/>
  <c r="J153" i="53" a="1"/>
  <c r="J153" i="53" s="1"/>
  <c r="J257" i="53" a="1"/>
  <c r="J257" i="53" s="1"/>
  <c r="G151" i="53" a="1"/>
  <c r="G151" i="53" s="1"/>
  <c r="L386" i="53" a="1"/>
  <c r="L386" i="53" s="1"/>
  <c r="I137" i="53" a="1"/>
  <c r="I137" i="53" s="1"/>
  <c r="K124" i="53" a="1"/>
  <c r="K124" i="53" s="1"/>
  <c r="J358" i="53" a="1"/>
  <c r="J358" i="53" s="1"/>
  <c r="I374" i="53" a="1"/>
  <c r="I374" i="53" s="1"/>
  <c r="H36" i="53" a="1"/>
  <c r="H36" i="53" s="1"/>
  <c r="G28" i="53" a="1"/>
  <c r="G28" i="53" s="1"/>
  <c r="J30" i="53" a="1"/>
  <c r="J30" i="53" s="1"/>
  <c r="J39" i="53" a="1"/>
  <c r="J39" i="53" s="1"/>
  <c r="I140" i="53" a="1"/>
  <c r="I140" i="53" s="1"/>
  <c r="L380" i="53" a="1"/>
  <c r="L380" i="53" s="1"/>
  <c r="K250" i="53" a="1"/>
  <c r="K250" i="53" s="1"/>
  <c r="I250" i="53" a="1"/>
  <c r="I250" i="53" s="1"/>
  <c r="L34" i="53" a="1"/>
  <c r="L34" i="53" s="1"/>
  <c r="G30" i="53" a="1"/>
  <c r="G30" i="53" s="1"/>
  <c r="J244" i="53" a="1"/>
  <c r="J244" i="53" s="1"/>
  <c r="G244" i="53" a="1"/>
  <c r="G244" i="53" s="1"/>
  <c r="I8" i="53" a="1"/>
  <c r="I8" i="53" s="1"/>
  <c r="G370" i="53" a="1"/>
  <c r="G370" i="53" s="1"/>
  <c r="L40" i="53" a="1"/>
  <c r="L40" i="53" s="1"/>
  <c r="H129" i="53" a="1"/>
  <c r="H129" i="53" s="1"/>
  <c r="H374" i="53" a="1"/>
  <c r="H374" i="53" s="1"/>
  <c r="H134" i="53" a="1"/>
  <c r="H134" i="53" s="1"/>
  <c r="L263" i="53" a="1"/>
  <c r="L263" i="53" s="1"/>
  <c r="H28" i="53" a="1"/>
  <c r="H28" i="53" s="1"/>
  <c r="I358" i="53" a="1"/>
  <c r="I358" i="53" s="1"/>
  <c r="H379" i="53" a="1"/>
  <c r="H379" i="53" s="1"/>
  <c r="K268" i="53" a="1"/>
  <c r="K268" i="53" s="1"/>
  <c r="J23" i="53" a="1"/>
  <c r="J23" i="53" s="1"/>
  <c r="K243" i="53" a="1"/>
  <c r="K243" i="53" s="1"/>
  <c r="K246" i="53" a="1"/>
  <c r="K246" i="53" s="1"/>
  <c r="I249" i="53" a="1"/>
  <c r="I249" i="53" s="1"/>
  <c r="H359" i="53" a="1"/>
  <c r="H359" i="53" s="1"/>
  <c r="H142" i="53" a="1"/>
  <c r="H142" i="53" s="1"/>
  <c r="H22" i="53" a="1"/>
  <c r="H22" i="53" s="1"/>
  <c r="H144" i="53" a="1"/>
  <c r="H144" i="53" s="1"/>
  <c r="I245" i="53" a="1"/>
  <c r="I245" i="53" s="1"/>
  <c r="J263" i="53" a="1"/>
  <c r="J263" i="53" s="1"/>
  <c r="G267" i="53" a="1"/>
  <c r="G267" i="53" s="1"/>
  <c r="J375" i="53" a="1"/>
  <c r="J375" i="53" s="1"/>
  <c r="J262" i="53" a="1"/>
  <c r="J262" i="53" s="1"/>
  <c r="L139" i="53" a="1"/>
  <c r="L139" i="53" s="1"/>
  <c r="L10" i="53" a="1"/>
  <c r="L10" i="53" s="1"/>
  <c r="K151" i="53" a="1"/>
  <c r="K151" i="53" s="1"/>
  <c r="I25" i="53" a="1"/>
  <c r="I25" i="53" s="1"/>
  <c r="I246" i="53" a="1"/>
  <c r="I246" i="53" s="1"/>
  <c r="H7" i="53" a="1"/>
  <c r="H7" i="53" s="1"/>
  <c r="K30" i="53" a="1"/>
  <c r="K30" i="53" s="1"/>
  <c r="L35" i="53" a="1"/>
  <c r="L35" i="53" s="1"/>
  <c r="K248" i="53" a="1"/>
  <c r="K248" i="53" s="1"/>
  <c r="I273" i="53" a="1"/>
  <c r="I273" i="53" s="1"/>
  <c r="H9" i="53" a="1"/>
  <c r="H9" i="53" s="1"/>
  <c r="I389" i="53" a="1"/>
  <c r="I389" i="53" s="1"/>
  <c r="K157" i="53" a="1"/>
  <c r="K157" i="53" s="1"/>
  <c r="G31" i="53" a="1"/>
  <c r="G31" i="53" s="1"/>
  <c r="I267" i="53" a="1"/>
  <c r="I267" i="53" s="1"/>
  <c r="I371" i="53" a="1"/>
  <c r="I371" i="53" s="1"/>
  <c r="L16" i="53" a="1"/>
  <c r="L16" i="53" s="1"/>
  <c r="G359" i="53" a="1"/>
  <c r="G359" i="53" s="1"/>
  <c r="G257" i="53" a="1"/>
  <c r="G257" i="53" s="1"/>
  <c r="L370" i="53" a="1"/>
  <c r="L370" i="53" s="1"/>
  <c r="J18" i="53" a="1"/>
  <c r="J18" i="53" s="1"/>
  <c r="L18" i="53" a="1"/>
  <c r="L18" i="53" s="1"/>
  <c r="K260" i="53" a="1"/>
  <c r="K260" i="53" s="1"/>
  <c r="K38" i="53" a="1"/>
  <c r="K38" i="53" s="1"/>
  <c r="K254" i="53" a="1"/>
  <c r="K254" i="53" s="1"/>
  <c r="G18" i="53" a="1"/>
  <c r="G18" i="53" s="1"/>
  <c r="L381" i="53" a="1"/>
  <c r="L381" i="53" s="1"/>
  <c r="L266" i="53" a="1"/>
  <c r="L266" i="53" s="1"/>
  <c r="G14" i="53" a="1"/>
  <c r="G14" i="53" s="1"/>
  <c r="J25" i="53" a="1"/>
  <c r="J25" i="53" s="1"/>
  <c r="H153" i="53" a="1"/>
  <c r="H153" i="53" s="1"/>
  <c r="H125" i="53" a="1"/>
  <c r="H125" i="53" s="1"/>
  <c r="J154" i="53" a="1"/>
  <c r="J154" i="53" s="1"/>
  <c r="I14" i="53" a="1"/>
  <c r="I14" i="53" s="1"/>
  <c r="I385" i="53" a="1"/>
  <c r="I385" i="53" s="1"/>
  <c r="H268" i="53" a="1"/>
  <c r="H268" i="53" s="1"/>
  <c r="H361" i="53" a="1"/>
  <c r="H361" i="53" s="1"/>
  <c r="J15" i="53" a="1"/>
  <c r="J15" i="53" s="1"/>
  <c r="I258" i="53" a="1"/>
  <c r="I258" i="53" s="1"/>
  <c r="I247" i="53" a="1"/>
  <c r="I247" i="53" s="1"/>
  <c r="L31" i="53" a="1"/>
  <c r="L31" i="53" s="1"/>
  <c r="G261" i="53" a="1"/>
  <c r="G261" i="53" s="1"/>
  <c r="I27" i="53" a="1"/>
  <c r="I27" i="53" s="1"/>
  <c r="J242" i="53" a="1"/>
  <c r="J242" i="53" s="1"/>
  <c r="G156" i="53" a="1"/>
  <c r="G156" i="53" s="1"/>
  <c r="I244" i="53" a="1"/>
  <c r="I244" i="53" s="1"/>
  <c r="H364" i="53" a="1"/>
  <c r="H364" i="53" s="1"/>
  <c r="K372" i="53" a="1"/>
  <c r="K372" i="53" s="1"/>
  <c r="G13" i="53" a="1"/>
  <c r="G13" i="53" s="1"/>
  <c r="J141" i="53" a="1"/>
  <c r="J141" i="53" s="1"/>
  <c r="G372" i="53" a="1"/>
  <c r="G372" i="53" s="1"/>
  <c r="I139" i="53" a="1"/>
  <c r="I139" i="53" s="1"/>
  <c r="L360" i="53" a="1"/>
  <c r="L360" i="53" s="1"/>
  <c r="I130" i="53" a="1"/>
  <c r="I130" i="53" s="1"/>
  <c r="I157" i="53" a="1"/>
  <c r="I157" i="53" s="1"/>
  <c r="J252" i="53" a="1"/>
  <c r="J252" i="53" s="1"/>
  <c r="I369" i="53" a="1"/>
  <c r="I369" i="53" s="1"/>
  <c r="I124" i="53" a="1"/>
  <c r="I124" i="53" s="1"/>
  <c r="K249" i="53" a="1"/>
  <c r="K249" i="53" s="1"/>
  <c r="L361" i="53" a="1"/>
  <c r="L361" i="53" s="1"/>
  <c r="H128" i="53" a="1"/>
  <c r="H128" i="53" s="1"/>
  <c r="H156" i="53" a="1"/>
  <c r="H156" i="53" s="1"/>
  <c r="K142" i="53" a="1"/>
  <c r="K142" i="53" s="1"/>
  <c r="L36" i="53" a="1"/>
  <c r="L36" i="53" s="1"/>
  <c r="K375" i="53" a="1"/>
  <c r="K375" i="53" s="1"/>
  <c r="G125" i="53" a="1"/>
  <c r="G125" i="53" s="1"/>
  <c r="K22" i="53" a="1"/>
  <c r="K22" i="53" s="1"/>
  <c r="K392" i="53" a="1"/>
  <c r="K392" i="53" s="1"/>
  <c r="H369" i="53" a="1"/>
  <c r="H369" i="53" s="1"/>
  <c r="G383" i="53" a="1"/>
  <c r="G383" i="53" s="1"/>
  <c r="J364" i="53" a="1"/>
  <c r="J364" i="53" s="1"/>
  <c r="H38" i="53" a="1"/>
  <c r="H38" i="53" s="1"/>
  <c r="I142" i="53" a="1"/>
  <c r="I142" i="53" s="1"/>
  <c r="K264" i="53" a="1"/>
  <c r="K264" i="53" s="1"/>
  <c r="K29" i="53" a="1"/>
  <c r="K29" i="53" s="1"/>
  <c r="K365" i="53" a="1"/>
  <c r="K365" i="53" s="1"/>
  <c r="H17" i="53" a="1"/>
  <c r="H17" i="53" s="1"/>
  <c r="H21" i="53" a="1"/>
  <c r="H21" i="53" s="1"/>
  <c r="J26" i="53" a="1"/>
  <c r="J26" i="53" s="1"/>
  <c r="L127" i="53" a="1"/>
  <c r="L127" i="53" s="1"/>
  <c r="G252" i="53" a="1"/>
  <c r="G252" i="53" s="1"/>
  <c r="J362" i="53" a="1"/>
  <c r="J362" i="53" s="1"/>
  <c r="J146" i="53" a="1"/>
  <c r="J146" i="53" s="1"/>
  <c r="K15" i="53" a="1"/>
  <c r="K15" i="53" s="1"/>
  <c r="G385" i="53" a="1"/>
  <c r="G385" i="53" s="1"/>
  <c r="G21" i="53" a="1"/>
  <c r="G21" i="53" s="1"/>
  <c r="J381" i="53" a="1"/>
  <c r="J381" i="53" s="1"/>
  <c r="K383" i="53" a="1"/>
  <c r="K383" i="53" s="1"/>
  <c r="J17" i="53" a="1"/>
  <c r="J17" i="53" s="1"/>
  <c r="I151" i="53" a="1"/>
  <c r="I151" i="53" s="1"/>
  <c r="I391" i="53" a="1"/>
  <c r="I391" i="53" s="1"/>
  <c r="J270" i="53" a="1"/>
  <c r="J270" i="53" s="1"/>
  <c r="L32" i="53" a="1"/>
  <c r="L32" i="53" s="1"/>
  <c r="K136" i="53" a="1"/>
  <c r="K136" i="53" s="1"/>
  <c r="I390" i="53" a="1"/>
  <c r="I390" i="53" s="1"/>
  <c r="H274" i="53" a="1"/>
  <c r="H274" i="53" s="1"/>
  <c r="L388" i="53" a="1"/>
  <c r="L388" i="53" s="1"/>
  <c r="J368" i="53" a="1"/>
  <c r="J368" i="53" s="1"/>
  <c r="L375" i="53" a="1"/>
  <c r="L375" i="53" s="1"/>
  <c r="J370" i="53" a="1"/>
  <c r="J370" i="53" s="1"/>
  <c r="G157" i="53" a="1"/>
  <c r="G157" i="53" s="1"/>
  <c r="I37" i="53" a="1"/>
  <c r="I37" i="53" s="1"/>
  <c r="I127" i="53" a="1"/>
  <c r="I127" i="53" s="1"/>
  <c r="G19" i="53" a="1"/>
  <c r="G19" i="53" s="1"/>
  <c r="G253" i="53" a="1"/>
  <c r="G253" i="53" s="1"/>
  <c r="I372" i="53" a="1"/>
  <c r="I372" i="53" s="1"/>
  <c r="L242" i="53" a="1"/>
  <c r="L242" i="53" s="1"/>
  <c r="H19" i="53" a="1"/>
  <c r="H19" i="53" s="1"/>
  <c r="G142" i="53" a="1"/>
  <c r="G142" i="53" s="1"/>
  <c r="H146" i="53" a="1"/>
  <c r="H146" i="53" s="1"/>
  <c r="H141" i="53" a="1"/>
  <c r="H141" i="53" s="1"/>
  <c r="I274" i="53" a="1"/>
  <c r="I274" i="53" s="1"/>
  <c r="K133" i="53" a="1"/>
  <c r="K133" i="53" s="1"/>
  <c r="J371" i="53" a="1"/>
  <c r="J371" i="53" s="1"/>
  <c r="J10" i="53" a="1"/>
  <c r="J10" i="53" s="1"/>
  <c r="G273" i="53" a="1"/>
  <c r="G273" i="53" s="1"/>
  <c r="J372" i="53" a="1"/>
  <c r="J372" i="53" s="1"/>
  <c r="G250" i="53" a="1"/>
  <c r="G250" i="53" s="1"/>
  <c r="L368" i="53" a="1"/>
  <c r="L368" i="53" s="1"/>
  <c r="K379" i="53" a="1"/>
  <c r="K379" i="53" s="1"/>
  <c r="J247" i="53" a="1"/>
  <c r="J247" i="53" s="1"/>
  <c r="I158" i="53" a="1"/>
  <c r="I158" i="53" s="1"/>
  <c r="G380" i="53" a="1"/>
  <c r="G380" i="53" s="1"/>
  <c r="H247" i="53" a="1"/>
  <c r="H247" i="53" s="1"/>
  <c r="H27" i="53" a="1"/>
  <c r="H27" i="53" s="1"/>
  <c r="J382" i="53" a="1"/>
  <c r="J382" i="53" s="1"/>
  <c r="J267" i="53" a="1"/>
  <c r="J267" i="53" s="1"/>
  <c r="L144" i="53" a="1"/>
  <c r="L144" i="53" s="1"/>
  <c r="J32" i="53" a="1"/>
  <c r="J32" i="53" s="1"/>
  <c r="H263" i="53" a="1"/>
  <c r="H263" i="53" s="1"/>
  <c r="K150" i="53" a="1"/>
  <c r="K150" i="53" s="1"/>
  <c r="I9" i="53" a="1"/>
  <c r="I9" i="53" s="1"/>
  <c r="J388" i="53" a="1"/>
  <c r="J388" i="53" s="1"/>
  <c r="J135" i="53" a="1"/>
  <c r="J135" i="53" s="1"/>
  <c r="G387" i="53" a="1"/>
  <c r="G387" i="53" s="1"/>
  <c r="L265" i="53" a="1"/>
  <c r="L265" i="53" s="1"/>
  <c r="L39" i="53" a="1"/>
  <c r="L39" i="53" s="1"/>
  <c r="L362" i="53" a="1"/>
  <c r="L362" i="53" s="1"/>
  <c r="K385" i="53" a="1"/>
  <c r="K385" i="53" s="1"/>
  <c r="J380" i="53" a="1"/>
  <c r="J380" i="53" s="1"/>
  <c r="G35" i="53" a="1"/>
  <c r="G35" i="53" s="1"/>
  <c r="L146" i="53" a="1"/>
  <c r="L146" i="53" s="1"/>
  <c r="J366" i="53" a="1"/>
  <c r="J366" i="53" s="1"/>
  <c r="I375" i="53" a="1"/>
  <c r="I375" i="53" s="1"/>
  <c r="I381" i="53" a="1"/>
  <c r="I381" i="53" s="1"/>
  <c r="J130" i="53" a="1"/>
  <c r="J130" i="53" s="1"/>
  <c r="G378" i="53" a="1"/>
  <c r="G378" i="53" s="1"/>
  <c r="J268" i="53" a="1"/>
  <c r="J268" i="53" s="1"/>
  <c r="G137" i="53" a="1"/>
  <c r="G137" i="53" s="1"/>
  <c r="G275" i="53" a="1"/>
  <c r="G275" i="53" s="1"/>
  <c r="L369" i="53" a="1"/>
  <c r="L369" i="53" s="1"/>
  <c r="L21" i="53" a="1"/>
  <c r="L21" i="53" s="1"/>
  <c r="H372" i="53" a="1"/>
  <c r="H372" i="53" s="1"/>
  <c r="I135" i="53" a="1"/>
  <c r="I135" i="53" s="1"/>
  <c r="G158" i="53" a="1"/>
  <c r="G158" i="53" s="1"/>
  <c r="H127" i="53" a="1"/>
  <c r="H127" i="53" s="1"/>
  <c r="L366" i="53" a="1"/>
  <c r="L366" i="53" s="1"/>
  <c r="K374" i="53" a="1"/>
  <c r="K374" i="53" s="1"/>
  <c r="I272" i="53" a="1"/>
  <c r="I272" i="53" s="1"/>
  <c r="I261" i="53" a="1"/>
  <c r="I261" i="53" s="1"/>
  <c r="G392" i="53" a="1"/>
  <c r="G392" i="53" s="1"/>
  <c r="G40" i="53" a="1"/>
  <c r="G40" i="53" s="1"/>
  <c r="I153" i="53" a="1"/>
  <c r="I153" i="53" s="1"/>
  <c r="H259" i="53" a="1"/>
  <c r="H259" i="53" s="1"/>
  <c r="H130" i="53" a="1"/>
  <c r="H130" i="53" s="1"/>
  <c r="K141" i="53" a="1"/>
  <c r="K141" i="53" s="1"/>
  <c r="J27" i="53" a="1"/>
  <c r="J27" i="53" s="1"/>
  <c r="J367" i="53" a="1"/>
  <c r="J367" i="53" s="1"/>
  <c r="G131" i="53" a="1"/>
  <c r="G131" i="53" s="1"/>
  <c r="J241" i="53" a="1"/>
  <c r="J241" i="53" s="1"/>
  <c r="J369" i="53" a="1"/>
  <c r="J369" i="53" s="1"/>
  <c r="H148" i="53" a="1"/>
  <c r="H148" i="53" s="1"/>
  <c r="H388" i="53" a="1"/>
  <c r="H388" i="53" s="1"/>
  <c r="H23" i="53" a="1"/>
  <c r="H23" i="53" s="1"/>
  <c r="H387" i="53" a="1"/>
  <c r="H387" i="53" s="1"/>
  <c r="I270" i="53" a="1"/>
  <c r="I270" i="53" s="1"/>
  <c r="H249" i="53" a="1"/>
  <c r="H249" i="53" s="1"/>
  <c r="G382" i="53" a="1"/>
  <c r="G382" i="53" s="1"/>
  <c r="H256" i="53" a="1"/>
  <c r="H256" i="53" s="1"/>
  <c r="I380" i="53" a="1"/>
  <c r="I380" i="53" s="1"/>
  <c r="K390" i="53" a="1"/>
  <c r="K390" i="53" s="1"/>
  <c r="G126" i="53" a="1"/>
  <c r="G126" i="53" s="1"/>
  <c r="G152" i="53" a="1"/>
  <c r="G152" i="53" s="1"/>
  <c r="I35" i="53" a="1"/>
  <c r="I35" i="53" s="1"/>
  <c r="K368" i="53" a="1"/>
  <c r="K368" i="53" s="1"/>
  <c r="L275" i="53" a="1"/>
  <c r="L275" i="53" s="1"/>
  <c r="I138" i="53" a="1"/>
  <c r="I138" i="53" s="1"/>
  <c r="H33" i="53" a="1"/>
  <c r="H33" i="53" s="1"/>
  <c r="L250" i="53" a="1"/>
  <c r="L250" i="53" s="1"/>
  <c r="I373" i="53" a="1"/>
  <c r="I373" i="53" s="1"/>
  <c r="G27" i="53" a="1"/>
  <c r="G27" i="53" s="1"/>
  <c r="I359" i="53" a="1"/>
  <c r="I359" i="53" s="1"/>
  <c r="L377" i="53" a="1"/>
  <c r="L377" i="53" s="1"/>
  <c r="G362" i="53" a="1"/>
  <c r="G362" i="53" s="1"/>
  <c r="G264" i="53" a="1"/>
  <c r="G264" i="53" s="1"/>
  <c r="J255" i="53" a="1"/>
  <c r="J255" i="53" s="1"/>
  <c r="K128" i="53" a="1"/>
  <c r="K128" i="53" s="1"/>
  <c r="J385" i="53" a="1"/>
  <c r="J385" i="53" s="1"/>
  <c r="G23" i="53" a="1"/>
  <c r="G23" i="53" s="1"/>
  <c r="I36" i="53" a="1"/>
  <c r="I36" i="53" s="1"/>
  <c r="K251" i="53" a="1"/>
  <c r="K251" i="53" s="1"/>
  <c r="G133" i="53" a="1"/>
  <c r="G133" i="53" s="1"/>
  <c r="G141" i="53" a="1"/>
  <c r="G141" i="53" s="1"/>
  <c r="I32" i="53" a="1"/>
  <c r="I32" i="53" s="1"/>
  <c r="L249" i="53" a="1"/>
  <c r="L249" i="53" s="1"/>
  <c r="G363" i="53" a="1"/>
  <c r="G363" i="53" s="1"/>
  <c r="G360" i="53" a="1"/>
  <c r="G360" i="53" s="1"/>
  <c r="G367" i="53" a="1"/>
  <c r="G367" i="53" s="1"/>
  <c r="L14" i="53" a="1"/>
  <c r="L14" i="53" s="1"/>
  <c r="L38" i="53" a="1"/>
  <c r="L38" i="53" s="1"/>
  <c r="H138" i="53" a="1"/>
  <c r="H138" i="53" s="1"/>
  <c r="L391" i="53" a="1"/>
  <c r="L391" i="53" s="1"/>
  <c r="L153" i="53" a="1"/>
  <c r="L153" i="53" s="1"/>
  <c r="K7" i="53" a="1"/>
  <c r="K7" i="53" s="1"/>
  <c r="J275" i="53" a="1"/>
  <c r="J275" i="53" s="1"/>
  <c r="L154" i="53" a="1"/>
  <c r="L154" i="53" s="1"/>
  <c r="H253" i="53" a="1"/>
  <c r="H253" i="53" s="1"/>
  <c r="J378" i="53" a="1"/>
  <c r="J378" i="53" s="1"/>
  <c r="G148" i="53" a="1"/>
  <c r="G148" i="53" s="1"/>
  <c r="J33" i="53" a="1"/>
  <c r="J33" i="53" s="1"/>
  <c r="L24" i="53" a="1"/>
  <c r="L24" i="53" s="1"/>
  <c r="K241" i="53" a="1"/>
  <c r="K241" i="53" s="1"/>
  <c r="I384" i="53" a="1"/>
  <c r="I384" i="53" s="1"/>
  <c r="G272" i="53" a="1"/>
  <c r="G272" i="53" s="1"/>
  <c r="K153" i="53" a="1"/>
  <c r="K153" i="53" s="1"/>
  <c r="I252" i="53" a="1"/>
  <c r="I252" i="53" s="1"/>
  <c r="G270" i="53" a="1"/>
  <c r="G270" i="53" s="1"/>
  <c r="L255" i="53" a="1"/>
  <c r="L255" i="53" s="1"/>
  <c r="I146" i="53" a="1"/>
  <c r="I146" i="53" s="1"/>
  <c r="K381" i="53" a="1"/>
  <c r="K381" i="53" s="1"/>
  <c r="L41" i="53" a="1"/>
  <c r="L41" i="53" s="1"/>
  <c r="I34" i="53" a="1"/>
  <c r="I34" i="53" s="1"/>
  <c r="G381" i="53" a="1"/>
  <c r="G381" i="53" s="1"/>
  <c r="G155" i="53" a="1"/>
  <c r="G155" i="53" s="1"/>
  <c r="H245" i="53" a="1"/>
  <c r="H245" i="53" s="1"/>
  <c r="H270" i="53" a="1"/>
  <c r="H270" i="53" s="1"/>
  <c r="J14" i="53" a="1"/>
  <c r="J14" i="53" s="1"/>
  <c r="J272" i="53" a="1"/>
  <c r="J272" i="53" s="1"/>
  <c r="G11" i="53" a="1"/>
  <c r="G11" i="53" s="1"/>
  <c r="G389" i="53" a="1"/>
  <c r="G389" i="53" s="1"/>
  <c r="L22" i="53" a="1"/>
  <c r="L22" i="53" s="1"/>
  <c r="I152" i="53" a="1"/>
  <c r="I152" i="53" s="1"/>
  <c r="K391" i="53" a="1"/>
  <c r="K391" i="53" s="1"/>
  <c r="G274" i="53" a="1"/>
  <c r="G274" i="53" s="1"/>
  <c r="H258" i="53" a="1"/>
  <c r="H258" i="53" s="1"/>
  <c r="J145" i="53" a="1"/>
  <c r="J145" i="53" s="1"/>
  <c r="G128" i="53" a="1"/>
  <c r="G128" i="53" s="1"/>
  <c r="H391" i="53" a="1"/>
  <c r="H391" i="53" s="1"/>
  <c r="J128" i="53" a="1"/>
  <c r="J128" i="53" s="1"/>
  <c r="J258" i="53" a="1"/>
  <c r="J258" i="53" s="1"/>
  <c r="H267" i="53" a="1"/>
  <c r="H267" i="53" s="1"/>
  <c r="G241" i="53" a="1"/>
  <c r="G241" i="53" s="1"/>
  <c r="H257" i="53" a="1"/>
  <c r="H257" i="53" s="1"/>
  <c r="J34" i="53" a="1"/>
  <c r="J34" i="53" s="1"/>
  <c r="J7" i="53" a="1"/>
  <c r="J7" i="53" s="1"/>
  <c r="K382" i="53" a="1"/>
  <c r="K382" i="53" s="1"/>
  <c r="L128" i="53" a="1"/>
  <c r="L128" i="53" s="1"/>
  <c r="I16" i="53" a="1"/>
  <c r="I16" i="53" s="1"/>
  <c r="H24" i="53" a="1"/>
  <c r="H24" i="53" s="1"/>
  <c r="I15" i="53" a="1"/>
  <c r="I15" i="53" s="1"/>
  <c r="H367" i="53" a="1"/>
  <c r="H367" i="53" s="1"/>
  <c r="G24" i="53" a="1"/>
  <c r="G24" i="53" s="1"/>
  <c r="G132" i="53" a="1"/>
  <c r="G132" i="53" s="1"/>
  <c r="I147" i="53" a="1"/>
  <c r="I147" i="53" s="1"/>
  <c r="H8" i="53" a="1"/>
  <c r="H8" i="53" s="1"/>
  <c r="I242" i="53" a="1"/>
  <c r="I242" i="53" s="1"/>
  <c r="I268" i="53" a="1"/>
  <c r="I268" i="53" s="1"/>
  <c r="K245" i="53" a="1"/>
  <c r="K245" i="53" s="1"/>
  <c r="J139" i="53" a="1"/>
  <c r="J139" i="53" s="1"/>
  <c r="J134" i="53" a="1"/>
  <c r="J134" i="53" s="1"/>
  <c r="L358" i="53" a="1"/>
  <c r="L358" i="53" s="1"/>
  <c r="H392" i="53" a="1"/>
  <c r="H392" i="53" s="1"/>
  <c r="I262" i="53" a="1"/>
  <c r="I262" i="53" s="1"/>
  <c r="H158" i="53" a="1"/>
  <c r="H158" i="53" s="1"/>
  <c r="I271" i="53" a="1"/>
  <c r="I271" i="53" s="1"/>
  <c r="K41" i="53" a="1"/>
  <c r="K41" i="53" s="1"/>
  <c r="J377" i="53" a="1"/>
  <c r="J377" i="53" s="1"/>
  <c r="K158" i="53" a="1"/>
  <c r="K158" i="53" s="1"/>
  <c r="H157" i="53" a="1"/>
  <c r="H157" i="53" s="1"/>
  <c r="H273" i="53" a="1"/>
  <c r="H273" i="53" s="1"/>
  <c r="I10" i="53" a="1"/>
  <c r="I10" i="53" s="1"/>
  <c r="K40" i="53" a="1"/>
  <c r="K40" i="53" s="1"/>
  <c r="J266" i="53" a="1"/>
  <c r="J266" i="53" s="1"/>
  <c r="J363" i="53" a="1"/>
  <c r="J363" i="53" s="1"/>
  <c r="I255" i="53" a="1"/>
  <c r="I255" i="53" s="1"/>
  <c r="J261" i="53" a="1"/>
  <c r="J261" i="53" s="1"/>
  <c r="K359" i="53" a="1"/>
  <c r="K359" i="53" s="1"/>
  <c r="I21" i="53" a="1"/>
  <c r="I21" i="53" s="1"/>
  <c r="G260" i="53" a="1"/>
  <c r="G260" i="53" s="1"/>
  <c r="I40" i="53" a="1"/>
  <c r="I40" i="53" s="1"/>
  <c r="H151" i="53" a="1"/>
  <c r="H151" i="53" s="1"/>
  <c r="J38" i="53" a="1"/>
  <c r="J38" i="53" s="1"/>
  <c r="L271" i="53" a="1"/>
  <c r="L271" i="53" s="1"/>
  <c r="G371" i="53" a="1"/>
  <c r="G371" i="53" s="1"/>
  <c r="I129" i="53" a="1"/>
  <c r="I129" i="53" s="1"/>
  <c r="K8" i="53" a="1"/>
  <c r="K8" i="53" s="1"/>
  <c r="G150" i="53" a="1"/>
  <c r="G150" i="53" s="1"/>
  <c r="G129" i="53" a="1"/>
  <c r="G129" i="53" s="1"/>
  <c r="G9" i="53" a="1"/>
  <c r="G9" i="53" s="1"/>
  <c r="I365" i="53" a="1"/>
  <c r="I365" i="53" s="1"/>
  <c r="H16" i="53" a="1"/>
  <c r="H16" i="53" s="1"/>
  <c r="L138" i="53" a="1"/>
  <c r="L138" i="53" s="1"/>
  <c r="L379" i="53" a="1"/>
  <c r="L379" i="53" s="1"/>
  <c r="K258" i="53" a="1"/>
  <c r="K258" i="53" s="1"/>
  <c r="J248" i="53" a="1"/>
  <c r="J248" i="53" s="1"/>
  <c r="L269" i="53" a="1"/>
  <c r="L269" i="53" s="1"/>
  <c r="J158" i="53" a="1"/>
  <c r="J158" i="53" s="1"/>
  <c r="J246" i="53" a="1"/>
  <c r="J246" i="53" s="1"/>
  <c r="L15" i="53" a="1"/>
  <c r="L15" i="53" s="1"/>
  <c r="L152" i="53" a="1"/>
  <c r="L152" i="53" s="1"/>
  <c r="L247" i="53" a="1"/>
  <c r="L247" i="53" s="1"/>
  <c r="K271" i="53" a="1"/>
  <c r="K271" i="53" s="1"/>
  <c r="K263" i="53" a="1"/>
  <c r="K263" i="53" s="1"/>
  <c r="I20" i="53" a="1"/>
  <c r="I20" i="53" s="1"/>
  <c r="I31" i="53" a="1"/>
  <c r="I31" i="53" s="1"/>
  <c r="H378" i="53" a="1"/>
  <c r="H378" i="53" s="1"/>
  <c r="L392" i="53" a="1"/>
  <c r="L392" i="53" s="1"/>
  <c r="H140" i="53" a="1"/>
  <c r="H140" i="53" s="1"/>
  <c r="J260" i="53" a="1"/>
  <c r="J260" i="53" s="1"/>
  <c r="K267" i="53" a="1"/>
  <c r="K267" i="53" s="1"/>
  <c r="L12" i="53" a="1"/>
  <c r="L12" i="53" s="1"/>
  <c r="H366" i="53" a="1"/>
  <c r="H366" i="53" s="1"/>
  <c r="J124" i="53" a="1"/>
  <c r="J124" i="53" s="1"/>
  <c r="L252" i="53" a="1"/>
  <c r="L252" i="53" s="1"/>
  <c r="H132" i="53" a="1"/>
  <c r="H132" i="53" s="1"/>
  <c r="L149" i="53" a="1"/>
  <c r="L149" i="53" s="1"/>
  <c r="G247" i="53" a="1"/>
  <c r="G247" i="53" s="1"/>
  <c r="J387" i="53" a="1"/>
  <c r="J387" i="53" s="1"/>
  <c r="I253" i="53" a="1"/>
  <c r="I253" i="53" s="1"/>
  <c r="I13" i="53" a="1"/>
  <c r="I13" i="53" s="1"/>
  <c r="K149" i="53" a="1"/>
  <c r="K149" i="53" s="1"/>
  <c r="K139" i="53" a="1"/>
  <c r="K139" i="53" s="1"/>
  <c r="L390" i="53" a="1"/>
  <c r="L390" i="53" s="1"/>
  <c r="L8" i="53" a="1"/>
  <c r="L8" i="53" s="1"/>
  <c r="I132" i="53" a="1"/>
  <c r="I132" i="53" s="1"/>
  <c r="J379" i="53" a="1"/>
  <c r="J379" i="53" s="1"/>
  <c r="I126" i="53" a="1"/>
  <c r="I126" i="53" s="1"/>
  <c r="I23" i="53" a="1"/>
  <c r="I23" i="53" s="1"/>
  <c r="J149" i="53" a="1"/>
  <c r="J149" i="53" s="1"/>
  <c r="G146" i="53" a="1"/>
  <c r="G146" i="53" s="1"/>
  <c r="H12" i="53" a="1"/>
  <c r="H12" i="53" s="1"/>
  <c r="I256" i="53" a="1"/>
  <c r="I256" i="53" s="1"/>
  <c r="L248" i="53" a="1"/>
  <c r="L248" i="53" s="1"/>
  <c r="I24" i="53" a="1"/>
  <c r="I24" i="53" s="1"/>
  <c r="J35" i="53" a="1"/>
  <c r="J35" i="53" s="1"/>
  <c r="I387" i="53" a="1"/>
  <c r="I387" i="53" s="1"/>
  <c r="L246" i="53" a="1"/>
  <c r="L246" i="53" s="1"/>
  <c r="K265" i="53" a="1"/>
  <c r="K265" i="53" s="1"/>
  <c r="G248" i="53" a="1"/>
  <c r="G248" i="53" s="1"/>
  <c r="J143" i="53" a="1"/>
  <c r="J143" i="53" s="1"/>
  <c r="K256" i="53" a="1"/>
  <c r="K256" i="53" s="1"/>
  <c r="G15" i="53" a="1"/>
  <c r="G15" i="53" s="1"/>
  <c r="L257" i="53" a="1"/>
  <c r="L257" i="53" s="1"/>
  <c r="L359" i="53" a="1"/>
  <c r="L359" i="53" s="1"/>
  <c r="J259" i="53" a="1"/>
  <c r="J259" i="53" s="1"/>
  <c r="J271" i="53" a="1"/>
  <c r="J271" i="53" s="1"/>
  <c r="I28" i="53" a="1"/>
  <c r="I28" i="53" s="1"/>
  <c r="L142" i="53" a="1"/>
  <c r="L142" i="53" s="1"/>
  <c r="G256" i="53" a="1"/>
  <c r="G256" i="53" s="1"/>
  <c r="H32" i="53" a="1"/>
  <c r="H32" i="53" s="1"/>
  <c r="L251" i="53" a="1"/>
  <c r="L251" i="53" s="1"/>
  <c r="I17" i="53" a="1"/>
  <c r="I17" i="53" s="1"/>
  <c r="J137" i="53" a="1"/>
  <c r="J137" i="53" s="1"/>
  <c r="L134" i="53" a="1"/>
  <c r="L134" i="53" s="1"/>
  <c r="I33" i="53" a="1"/>
  <c r="I33" i="53" s="1"/>
  <c r="L19" i="53" a="1"/>
  <c r="L19" i="53" s="1"/>
  <c r="L155" i="53" a="1"/>
  <c r="L155" i="53" s="1"/>
  <c r="L133" i="53" a="1"/>
  <c r="L133" i="53" s="1"/>
  <c r="J131" i="53" a="1"/>
  <c r="J131" i="53" s="1"/>
  <c r="K21" i="53" a="1"/>
  <c r="K21" i="53" s="1"/>
  <c r="K361" i="53" a="1"/>
  <c r="K361" i="53" s="1"/>
  <c r="G124" i="53" a="1"/>
  <c r="G124" i="53" s="1"/>
  <c r="G153" i="53" a="1"/>
  <c r="G153" i="53" s="1"/>
  <c r="H261" i="53" a="1"/>
  <c r="H261" i="53" s="1"/>
  <c r="K377" i="53" a="1"/>
  <c r="K377" i="53" s="1"/>
  <c r="I145" i="53" a="1"/>
  <c r="I145" i="53" s="1"/>
  <c r="J155" i="53" a="1"/>
  <c r="J155" i="53" s="1"/>
  <c r="J274" i="53" a="1"/>
  <c r="J274" i="53" s="1"/>
  <c r="G147" i="53" a="1"/>
  <c r="G147" i="53" s="1"/>
  <c r="J9" i="53" a="1"/>
  <c r="J9" i="53" s="1"/>
  <c r="L376" i="53" a="1"/>
  <c r="L376" i="53" s="1"/>
  <c r="J152" i="53" a="1"/>
  <c r="J152" i="53" s="1"/>
  <c r="I39" i="53" a="1"/>
  <c r="I39" i="53" s="1"/>
  <c r="H368" i="53" a="1"/>
  <c r="H368" i="53" s="1"/>
  <c r="J359" i="53" a="1"/>
  <c r="J359" i="53" s="1"/>
  <c r="G130" i="53" a="1"/>
  <c r="G130" i="53" s="1"/>
  <c r="J140" i="53" a="1"/>
  <c r="J140" i="53" s="1"/>
  <c r="J383" i="53" a="1"/>
  <c r="J383" i="53" s="1"/>
  <c r="G391" i="53" a="1"/>
  <c r="G391" i="53" s="1"/>
  <c r="I363" i="53" a="1"/>
  <c r="I363" i="53" s="1"/>
  <c r="K125" i="53" a="1"/>
  <c r="K125" i="53" s="1"/>
  <c r="J365" i="53" a="1"/>
  <c r="J365" i="53" s="1"/>
  <c r="J126" i="53" a="1"/>
  <c r="J126" i="53" s="1"/>
  <c r="K33" i="53" a="1"/>
  <c r="K33" i="53" s="1"/>
  <c r="H244" i="53" a="1"/>
  <c r="H244" i="53" s="1"/>
  <c r="J264" i="53" a="1"/>
  <c r="J264" i="53" s="1"/>
  <c r="H41" i="53" a="1"/>
  <c r="H41" i="53" s="1"/>
  <c r="G388" i="53" a="1"/>
  <c r="G388" i="53" s="1"/>
  <c r="I26" i="53" a="1"/>
  <c r="I26" i="53" s="1"/>
  <c r="H385" i="53" a="1"/>
  <c r="H385" i="53" s="1"/>
  <c r="J22" i="53" a="1"/>
  <c r="J22" i="53" s="1"/>
  <c r="I265" i="53" a="1"/>
  <c r="I265" i="53" s="1"/>
  <c r="H26" i="53" a="1"/>
  <c r="H26" i="53" s="1"/>
  <c r="L371" i="53" a="1"/>
  <c r="L371" i="53" s="1"/>
  <c r="G17" i="53" a="1"/>
  <c r="G17" i="53" s="1"/>
  <c r="J391" i="53" a="1"/>
  <c r="J391" i="53" s="1"/>
  <c r="J138" i="53" a="1"/>
  <c r="J138" i="53" s="1"/>
  <c r="I263" i="53" a="1"/>
  <c r="I263" i="53" s="1"/>
  <c r="G26" i="53" a="1"/>
  <c r="G26" i="53" s="1"/>
  <c r="K273" i="53" a="1"/>
  <c r="K273" i="53" s="1"/>
  <c r="K257" i="53" a="1"/>
  <c r="K257" i="53" s="1"/>
  <c r="G38" i="53" a="1"/>
  <c r="G38" i="53" s="1"/>
  <c r="J374" i="53" a="1"/>
  <c r="J374" i="53" s="1"/>
  <c r="G365" i="53" a="1"/>
  <c r="G365" i="53" s="1"/>
  <c r="H145" i="53" a="1"/>
  <c r="H145" i="53" s="1"/>
  <c r="I367" i="53" a="1"/>
  <c r="I367" i="53" s="1"/>
  <c r="J13" i="53" a="1"/>
  <c r="J13" i="53" s="1"/>
  <c r="J29" i="53" a="1"/>
  <c r="J29" i="53" s="1"/>
  <c r="L261" i="53" a="1"/>
  <c r="L261" i="53" s="1"/>
  <c r="H371" i="53" a="1"/>
  <c r="H371" i="53" s="1"/>
  <c r="H266" i="53" a="1"/>
  <c r="H266" i="53" s="1"/>
  <c r="I368" i="53" a="1"/>
  <c r="I368" i="53" s="1"/>
  <c r="K247" i="53" a="1"/>
  <c r="K247" i="53" s="1"/>
  <c r="I259" i="53" a="1"/>
  <c r="I259" i="53" s="1"/>
  <c r="K13" i="53" a="1"/>
  <c r="K13" i="53" s="1"/>
  <c r="H124" i="53" a="1"/>
  <c r="H124" i="53" s="1"/>
  <c r="I11" i="53" a="1"/>
  <c r="I11" i="53" s="1"/>
  <c r="H251" i="53" a="1"/>
  <c r="H251" i="53" s="1"/>
  <c r="K10" i="53" a="1"/>
  <c r="K10" i="53" s="1"/>
  <c r="I29" i="53" a="1"/>
  <c r="I29" i="53" s="1"/>
  <c r="H360" i="53" a="1"/>
  <c r="H360" i="53" s="1"/>
  <c r="H377" i="53" a="1"/>
  <c r="H377" i="53" s="1"/>
  <c r="L253" i="53" a="1"/>
  <c r="L253" i="53" s="1"/>
  <c r="H246" i="53" a="1"/>
  <c r="H246" i="53" s="1"/>
  <c r="K16" i="53" a="1"/>
  <c r="K16" i="53" s="1"/>
  <c r="G246" i="53" a="1"/>
  <c r="G246" i="53" s="1"/>
  <c r="H31" i="53" a="1"/>
  <c r="H31" i="53" s="1"/>
  <c r="K14" i="53" a="1"/>
  <c r="K14" i="53" s="1"/>
  <c r="J361" i="53" a="1"/>
  <c r="J361" i="53" s="1"/>
  <c r="L389" i="53" a="1"/>
  <c r="L389" i="53" s="1"/>
  <c r="G368" i="53" a="1"/>
  <c r="G368" i="53" s="1"/>
  <c r="K12" i="53" a="1"/>
  <c r="K12" i="53" s="1"/>
  <c r="K26" i="53" a="1"/>
  <c r="K26" i="53" s="1"/>
  <c r="I382" i="53" a="1"/>
  <c r="I382" i="53" s="1"/>
  <c r="L385" i="53" a="1"/>
  <c r="L385" i="53" s="1"/>
  <c r="L244" i="53" a="1"/>
  <c r="L244" i="53" s="1"/>
  <c r="I131" i="53" a="1"/>
  <c r="I131" i="53" s="1"/>
  <c r="G265" i="53" a="1"/>
  <c r="G265" i="53" s="1"/>
  <c r="L136" i="53" a="1"/>
  <c r="L136" i="53" s="1"/>
  <c r="K373" i="53" a="1"/>
  <c r="K373" i="53" s="1"/>
  <c r="K145" i="53" a="1"/>
  <c r="K145" i="53" s="1"/>
  <c r="L274" i="53" a="1"/>
  <c r="L274" i="53" s="1"/>
  <c r="L259" i="53" a="1"/>
  <c r="L259" i="53" s="1"/>
  <c r="H25" i="53" a="1"/>
  <c r="H25" i="53" s="1"/>
  <c r="I361" i="53" a="1"/>
  <c r="I361" i="53" s="1"/>
  <c r="K27" i="53" a="1"/>
  <c r="K27" i="53" s="1"/>
  <c r="J24" i="53" a="1"/>
  <c r="J24" i="53" s="1"/>
  <c r="I251" i="53" a="1"/>
  <c r="I251" i="53" s="1"/>
  <c r="J129" i="53" a="1"/>
  <c r="J129" i="53" s="1"/>
  <c r="J19" i="53" a="1"/>
  <c r="J19" i="53" s="1"/>
  <c r="L363" i="53" a="1"/>
  <c r="L363" i="53" s="1"/>
  <c r="G10" i="53" a="1"/>
  <c r="G10" i="53" s="1"/>
  <c r="K242" i="53" a="1"/>
  <c r="K242" i="53" s="1"/>
  <c r="H248" i="53" a="1"/>
  <c r="H248" i="53" s="1"/>
  <c r="G271" i="53" a="1"/>
  <c r="G271" i="53" s="1"/>
  <c r="G254" i="53" a="1"/>
  <c r="G254" i="53" s="1"/>
  <c r="J265" i="53" a="1"/>
  <c r="J265" i="53" s="1"/>
  <c r="K367" i="53" a="1"/>
  <c r="K367" i="53" s="1"/>
  <c r="L11" i="53" a="1"/>
  <c r="L11" i="53" s="1"/>
  <c r="H390" i="53" a="1"/>
  <c r="H390" i="53" s="1"/>
  <c r="H365" i="53" a="1"/>
  <c r="H365" i="53" s="1"/>
  <c r="K143" i="53" a="1"/>
  <c r="K143" i="53" s="1"/>
  <c r="G245" i="53" a="1"/>
  <c r="G245" i="53" s="1"/>
  <c r="L387" i="53" a="1"/>
  <c r="L387" i="53" s="1"/>
  <c r="H363" i="53" a="1"/>
  <c r="H363" i="53" s="1"/>
  <c r="L135" i="53" a="1"/>
  <c r="L135" i="53" s="1"/>
  <c r="H149" i="53" a="1"/>
  <c r="H149" i="53" s="1"/>
  <c r="G8" i="53" a="1"/>
  <c r="G8" i="53" s="1"/>
  <c r="K386" i="53" a="1"/>
  <c r="K386" i="53" s="1"/>
  <c r="I149" i="53" a="1"/>
  <c r="I149" i="53" s="1"/>
  <c r="L30" i="53" a="1"/>
  <c r="L30" i="53" s="1"/>
  <c r="I19" i="53" a="1"/>
  <c r="I19" i="53" s="1"/>
  <c r="J136" i="53" a="1"/>
  <c r="J136" i="53" s="1"/>
  <c r="I144" i="53" a="1"/>
  <c r="I144" i="53" s="1"/>
  <c r="H133" i="53" a="1"/>
  <c r="H133" i="53" s="1"/>
  <c r="I148" i="53" a="1"/>
  <c r="I148" i="53" s="1"/>
  <c r="I275" i="53" a="1"/>
  <c r="I275" i="53" s="1"/>
  <c r="I143" i="53" a="1"/>
  <c r="I143" i="53" s="1"/>
  <c r="G266" i="53" a="1"/>
  <c r="G266" i="53" s="1"/>
  <c r="K35" i="53" a="1"/>
  <c r="K35" i="53" s="1"/>
  <c r="K275" i="53" a="1"/>
  <c r="K275" i="53" s="1"/>
  <c r="J269" i="53" a="1"/>
  <c r="J269" i="53" s="1"/>
  <c r="L147" i="53" a="1"/>
  <c r="L147" i="53" s="1"/>
  <c r="G20" i="53" a="1"/>
  <c r="G20" i="53" s="1"/>
  <c r="I376" i="53" a="1"/>
  <c r="I376" i="53" s="1"/>
  <c r="G375" i="53" a="1"/>
  <c r="G375" i="53" s="1"/>
  <c r="I243" i="53" a="1"/>
  <c r="I243" i="53" s="1"/>
  <c r="L131" i="53" a="1"/>
  <c r="L131" i="53" s="1"/>
  <c r="K253" i="53" a="1"/>
  <c r="K253" i="53" s="1"/>
  <c r="G7" i="53" a="1"/>
  <c r="G7" i="53" s="1"/>
  <c r="G154" i="53" a="1"/>
  <c r="G154" i="53" s="1"/>
  <c r="H380" i="53" a="1"/>
  <c r="H380" i="53" s="1"/>
  <c r="G36" i="53" a="1"/>
  <c r="G36" i="53" s="1"/>
  <c r="L382" i="53" a="1"/>
  <c r="L382" i="53" s="1"/>
  <c r="G255" i="53" a="1"/>
  <c r="G255" i="53" s="1"/>
  <c r="H154" i="53" a="1"/>
  <c r="H154" i="53" s="1"/>
  <c r="H373" i="53" a="1"/>
  <c r="H373" i="53" s="1"/>
  <c r="G135" i="53" a="1"/>
  <c r="G135" i="53" s="1"/>
  <c r="G390" i="53" a="1"/>
  <c r="G390" i="53" s="1"/>
  <c r="L384" i="53" a="1"/>
  <c r="L384" i="53" s="1"/>
  <c r="K274" i="53" a="1"/>
  <c r="K274" i="53" s="1"/>
  <c r="G269" i="53" a="1"/>
  <c r="G269" i="53" s="1"/>
  <c r="H35" i="53" a="1"/>
  <c r="H35" i="53" s="1"/>
  <c r="L9" i="53" a="1"/>
  <c r="L9" i="53" s="1"/>
  <c r="G136" i="53" a="1"/>
  <c r="G136" i="53" s="1"/>
  <c r="I366" i="53" a="1"/>
  <c r="I366" i="53" s="1"/>
  <c r="G127" i="53" a="1"/>
  <c r="G127" i="53" s="1"/>
  <c r="H131" i="53" a="1"/>
  <c r="H131" i="53" s="1"/>
  <c r="K148" i="53" a="1"/>
  <c r="K148" i="53" s="1"/>
  <c r="L27" i="53" a="1"/>
  <c r="L27" i="53" s="1"/>
  <c r="K154" i="53" a="1"/>
  <c r="K154" i="53" s="1"/>
  <c r="G377" i="53" a="1"/>
  <c r="G377" i="53" s="1"/>
  <c r="K261" i="53" a="1"/>
  <c r="K261" i="53" s="1"/>
  <c r="H381" i="53" a="1"/>
  <c r="H381" i="53" s="1"/>
  <c r="G134" i="53" a="1"/>
  <c r="G134" i="53" s="1"/>
  <c r="H362" i="53" a="1"/>
  <c r="H362" i="53" s="1"/>
  <c r="I370" i="53" a="1"/>
  <c r="I370" i="53" s="1"/>
  <c r="K378" i="53" a="1"/>
  <c r="K378" i="53" s="1"/>
  <c r="H136" i="53" a="1"/>
  <c r="H136" i="53" s="1"/>
  <c r="I377" i="53" a="1"/>
  <c r="I377" i="53" s="1"/>
  <c r="I155" i="53" a="1"/>
  <c r="I155" i="53" s="1"/>
  <c r="H126" i="53" a="1"/>
  <c r="H126" i="53" s="1"/>
  <c r="L145" i="53" a="1"/>
  <c r="L145" i="53" s="1"/>
  <c r="K255" i="53" a="1"/>
  <c r="K255" i="53" s="1"/>
  <c r="K131" i="53" a="1"/>
  <c r="K131" i="53" s="1"/>
  <c r="G143" i="53" a="1"/>
  <c r="G143" i="53" s="1"/>
  <c r="H250" i="53" a="1"/>
  <c r="H250" i="53" s="1"/>
  <c r="J389" i="53" a="1"/>
  <c r="J389" i="53" s="1"/>
  <c r="H152" i="53" a="1"/>
  <c r="H152" i="53" s="1"/>
  <c r="L137" i="53" a="1"/>
  <c r="L137" i="53" s="1"/>
  <c r="H147" i="53" a="1"/>
  <c r="H147" i="53" s="1"/>
  <c r="L13" i="53" a="1"/>
  <c r="L13" i="53" s="1"/>
  <c r="H375" i="53" a="1"/>
  <c r="H375" i="53" s="1"/>
  <c r="L270" i="53" a="1"/>
  <c r="L270" i="53" s="1"/>
  <c r="I136" i="53" a="1"/>
  <c r="I136" i="53" s="1"/>
  <c r="L150" i="53" a="1"/>
  <c r="L150" i="53" s="1"/>
  <c r="K272" i="53" a="1"/>
  <c r="K272" i="53" s="1"/>
  <c r="J12" i="53" a="1"/>
  <c r="J12" i="53" s="1"/>
  <c r="J373" i="53" a="1"/>
  <c r="J373" i="53" s="1"/>
  <c r="J156" i="53" a="1"/>
  <c r="J156" i="53" s="1"/>
  <c r="K138" i="53" a="1"/>
  <c r="K138" i="53" s="1"/>
  <c r="L364" i="53" a="1"/>
  <c r="L364" i="53" s="1"/>
  <c r="I379" i="53" a="1"/>
  <c r="I379" i="53" s="1"/>
  <c r="J384" i="53" a="1"/>
  <c r="J384" i="53" s="1"/>
  <c r="J390" i="53" a="1"/>
  <c r="J390" i="53" s="1"/>
  <c r="K146" i="53" a="1"/>
  <c r="K146" i="53" s="1"/>
  <c r="I388" i="53" a="1"/>
  <c r="I388" i="53" s="1"/>
  <c r="G33" i="53" a="1"/>
  <c r="G33" i="53" s="1"/>
  <c r="J360" i="53" a="1"/>
  <c r="J360" i="53" s="1"/>
  <c r="I254" i="53" a="1"/>
  <c r="I254" i="53" s="1"/>
  <c r="L17" i="53" a="1"/>
  <c r="L17" i="53" s="1"/>
  <c r="H265" i="53" a="1"/>
  <c r="H265" i="53" s="1"/>
  <c r="I125" i="53" a="1"/>
  <c r="I125" i="53" s="1"/>
  <c r="H139" i="53" a="1"/>
  <c r="H139" i="53" s="1"/>
  <c r="L140" i="53" a="1"/>
  <c r="L140" i="53" s="1"/>
  <c r="K376" i="53" a="1"/>
  <c r="K376" i="53" s="1"/>
  <c r="I378" i="53" a="1"/>
  <c r="I378" i="53" s="1"/>
  <c r="L129" i="53" a="1"/>
  <c r="L129" i="53" s="1"/>
  <c r="J37" i="53" a="1"/>
  <c r="J37" i="53" s="1"/>
  <c r="G140" i="53" a="1"/>
  <c r="G140" i="53" s="1"/>
  <c r="G263" i="53" a="1"/>
  <c r="G263" i="53" s="1"/>
  <c r="J28" i="53" a="1"/>
  <c r="J28" i="53" s="1"/>
  <c r="L151" i="53" a="1"/>
  <c r="L151" i="53" s="1"/>
  <c r="L141" i="53" a="1"/>
  <c r="L141" i="53" s="1"/>
  <c r="K9" i="53" a="1"/>
  <c r="K9" i="53" s="1"/>
  <c r="L372" i="53" a="1"/>
  <c r="L372" i="53" s="1"/>
  <c r="H260" i="53" a="1"/>
  <c r="H260" i="53" s="1"/>
  <c r="H252" i="53" a="1"/>
  <c r="H252" i="53" s="1"/>
  <c r="G379" i="53" a="1"/>
  <c r="G379" i="53" s="1"/>
  <c r="L124" i="53" a="1"/>
  <c r="L124" i="53" s="1"/>
  <c r="G258" i="53" a="1"/>
  <c r="G258" i="53" s="1"/>
  <c r="K25" i="53" a="1"/>
  <c r="K25" i="53" s="1"/>
  <c r="G268" i="53" a="1"/>
  <c r="G268" i="53" s="1"/>
  <c r="G242" i="53" a="1"/>
  <c r="G242" i="53" s="1"/>
  <c r="G144" i="53" a="1"/>
  <c r="G144" i="53" s="1"/>
  <c r="K129" i="53" a="1"/>
  <c r="K129" i="53" s="1"/>
  <c r="L256" i="53" a="1"/>
  <c r="L256" i="53" s="1"/>
  <c r="G369" i="53" a="1"/>
  <c r="G369" i="53" s="1"/>
  <c r="K17" i="53" a="1"/>
  <c r="K17" i="53" s="1"/>
  <c r="J273" i="53" a="1"/>
  <c r="J273" i="53" s="1"/>
  <c r="G249" i="53" a="1"/>
  <c r="G249" i="53" s="1"/>
  <c r="I364" i="53" a="1"/>
  <c r="I364" i="53" s="1"/>
  <c r="K269" i="53" a="1"/>
  <c r="K269" i="53" s="1"/>
  <c r="L272" i="53" a="1"/>
  <c r="L272" i="53" s="1"/>
  <c r="J148" i="53" a="1"/>
  <c r="J148" i="53" s="1"/>
  <c r="L268" i="53" a="1"/>
  <c r="L268" i="53" s="1"/>
  <c r="L260" i="53" a="1"/>
  <c r="L260" i="53" s="1"/>
  <c r="J157" i="53" a="1"/>
  <c r="J157" i="53" s="1"/>
  <c r="H264" i="53" a="1"/>
  <c r="H264" i="53" s="1"/>
  <c r="K364" i="53" a="1"/>
  <c r="K364" i="53" s="1"/>
  <c r="G259" i="53" a="1"/>
  <c r="G259" i="53" s="1"/>
  <c r="L37" i="53" a="1"/>
  <c r="L37" i="53" s="1"/>
  <c r="J253" i="53" a="1"/>
  <c r="J253" i="53" s="1"/>
  <c r="G243" i="53" a="1"/>
  <c r="G243" i="53" s="1"/>
  <c r="I141" i="53" a="1"/>
  <c r="I141" i="53" s="1"/>
  <c r="G358" i="53" a="1"/>
  <c r="G358" i="53" s="1"/>
  <c r="K127" i="53" a="1"/>
  <c r="K127" i="53" s="1"/>
  <c r="K130" i="53" a="1"/>
  <c r="K130" i="53" s="1"/>
  <c r="L29" i="53" a="1"/>
  <c r="L29" i="53" s="1"/>
  <c r="J386" i="53" a="1"/>
  <c r="J386" i="53" s="1"/>
  <c r="K32" i="53" a="1"/>
  <c r="K32" i="53" s="1"/>
  <c r="H13" i="53" a="1"/>
  <c r="H13" i="53" s="1"/>
  <c r="J392" i="53" a="1"/>
  <c r="J392" i="53" s="1"/>
  <c r="H370" i="53" a="1"/>
  <c r="H370" i="53" s="1"/>
  <c r="K358" i="53" a="1"/>
  <c r="K358" i="53" s="1"/>
  <c r="L373" i="53" a="1"/>
  <c r="L373" i="53" s="1"/>
  <c r="I30" i="53" a="1"/>
  <c r="I30" i="53" s="1"/>
  <c r="H39" i="53" a="1"/>
  <c r="H39" i="53" s="1"/>
  <c r="H254" i="53" a="1"/>
  <c r="H254" i="53" s="1"/>
  <c r="G373" i="53" a="1"/>
  <c r="G373" i="53" s="1"/>
  <c r="G139" i="53" a="1"/>
  <c r="G139" i="53" s="1"/>
  <c r="G251" i="53" a="1"/>
  <c r="G251" i="53" s="1"/>
  <c r="I266" i="53" a="1"/>
  <c r="I266" i="53" s="1"/>
  <c r="H150" i="53" a="1"/>
  <c r="H150" i="53" s="1"/>
  <c r="I150" i="53" a="1"/>
  <c r="I150" i="53" s="1"/>
  <c r="L7" i="53" a="1"/>
  <c r="L7" i="53" s="1"/>
  <c r="K134" i="53" a="1"/>
  <c r="K134" i="53" s="1"/>
  <c r="L273" i="53" a="1"/>
  <c r="L273" i="53" s="1"/>
  <c r="G34" i="53" a="1"/>
  <c r="G34" i="53" s="1"/>
  <c r="G41" i="53" a="1"/>
  <c r="G41" i="53" s="1"/>
  <c r="J41" i="53" a="1"/>
  <c r="J41" i="53" s="1"/>
  <c r="H275" i="53" a="1"/>
  <c r="H275" i="53" s="1"/>
  <c r="G12" i="53" a="1"/>
  <c r="G12" i="53" s="1"/>
  <c r="K360" i="53" a="1"/>
  <c r="K360" i="53" s="1"/>
  <c r="J256" i="53" a="1"/>
  <c r="J256" i="53" s="1"/>
  <c r="K155" i="53" a="1"/>
  <c r="K155" i="53" s="1"/>
  <c r="G37" i="53" a="1"/>
  <c r="G37" i="53" s="1"/>
  <c r="L262" i="53" a="1"/>
  <c r="L262" i="53" s="1"/>
  <c r="H272" i="53" a="1"/>
  <c r="H272" i="53" s="1"/>
  <c r="G25" i="53" a="1"/>
  <c r="G25" i="53" s="1"/>
  <c r="J16" i="53" a="1"/>
  <c r="J16" i="53" s="1"/>
  <c r="L157" i="53" a="1"/>
  <c r="L157" i="53" s="1"/>
  <c r="I18" i="53" a="1"/>
  <c r="I18" i="53" s="1"/>
  <c r="K262" i="53" a="1"/>
  <c r="K262" i="53" s="1"/>
  <c r="L245" i="53" a="1"/>
  <c r="L245" i="53" s="1"/>
  <c r="K380" i="53" a="1"/>
  <c r="K380" i="53" s="1"/>
  <c r="K137" i="53" a="1"/>
  <c r="K137" i="53" s="1"/>
  <c r="L267" i="53" a="1"/>
  <c r="L267" i="53" s="1"/>
  <c r="J20" i="53" a="1"/>
  <c r="J20" i="53" s="1"/>
  <c r="J36" i="53" a="1"/>
  <c r="J36" i="53" s="1"/>
  <c r="I154" i="53" a="1"/>
  <c r="I154" i="53" s="1"/>
  <c r="I133" i="53" a="1"/>
  <c r="I133" i="53" s="1"/>
  <c r="L132" i="53" a="1"/>
  <c r="L132" i="53" s="1"/>
  <c r="J31" i="53" a="1"/>
  <c r="J31" i="53" s="1"/>
  <c r="I257" i="53" a="1"/>
  <c r="I257" i="53" s="1"/>
  <c r="H376" i="53" a="1"/>
  <c r="H376" i="53" s="1"/>
  <c r="J127" i="53" a="1"/>
  <c r="J127" i="53" s="1"/>
  <c r="I38" i="53" a="1"/>
  <c r="I38" i="53" s="1"/>
  <c r="L243" i="53" a="1"/>
  <c r="L243" i="53" s="1"/>
  <c r="I22" i="53" a="1"/>
  <c r="I22" i="53" s="1"/>
  <c r="L378" i="53" a="1"/>
  <c r="L378" i="53" s="1"/>
  <c r="H11" i="53" a="1"/>
  <c r="H11" i="53" s="1"/>
  <c r="J8" i="53" a="1"/>
  <c r="J8" i="53" s="1"/>
  <c r="L158" i="53" a="1"/>
  <c r="L158" i="53" s="1"/>
  <c r="J40" i="53" a="1"/>
  <c r="J40" i="53" s="1"/>
  <c r="G149" i="53" a="1"/>
  <c r="G149" i="53" s="1"/>
  <c r="K387" i="53" a="1"/>
  <c r="K387" i="53" s="1"/>
  <c r="J245" i="53" a="1"/>
  <c r="J245" i="53" s="1"/>
  <c r="L20" i="53" a="1"/>
  <c r="L20" i="53" s="1"/>
  <c r="J144" i="53" a="1"/>
  <c r="J144" i="53" s="1"/>
  <c r="H386" i="53" a="1"/>
  <c r="H386" i="53" s="1"/>
  <c r="G374" i="53" a="1"/>
  <c r="G374" i="53" s="1"/>
  <c r="L258" i="53" a="1"/>
  <c r="L258" i="53" s="1"/>
  <c r="G262" i="53" a="1"/>
  <c r="G262" i="53" s="1"/>
  <c r="K370" i="53" a="1"/>
  <c r="K370" i="53" s="1"/>
  <c r="G29" i="53" a="1"/>
  <c r="G29" i="53" s="1"/>
  <c r="I386" i="53" a="1"/>
  <c r="I386" i="53" s="1"/>
  <c r="L374" i="53" a="1"/>
  <c r="L374" i="53" s="1"/>
  <c r="H40" i="53" a="1"/>
  <c r="H40" i="53" s="1"/>
  <c r="K266" i="53" a="1"/>
  <c r="K266" i="53" s="1"/>
  <c r="H15" i="53" a="1"/>
  <c r="H15" i="53" s="1"/>
  <c r="K11" i="53" a="1"/>
  <c r="K11" i="53" s="1"/>
  <c r="L125" i="53" a="1"/>
  <c r="L125" i="53" s="1"/>
  <c r="I128" i="53" a="1"/>
  <c r="I128" i="53" s="1"/>
  <c r="K34" i="53" a="1"/>
  <c r="K34" i="53" s="1"/>
  <c r="H18" i="53" a="1"/>
  <c r="H18" i="53" s="1"/>
  <c r="H242" i="53" a="1"/>
  <c r="H242" i="53" s="1"/>
  <c r="K31" i="53" a="1"/>
  <c r="K31" i="53" s="1"/>
  <c r="H241" i="53" a="1"/>
  <c r="H241" i="53" s="1"/>
  <c r="I241" i="53" a="1"/>
  <c r="I241" i="53" s="1"/>
  <c r="G16" i="53" a="1"/>
  <c r="G16" i="53" s="1"/>
  <c r="K19" i="53" a="1"/>
  <c r="K19" i="53" s="1"/>
  <c r="K20" i="53" a="1"/>
  <c r="K20" i="53" s="1"/>
  <c r="G364" i="53" a="1"/>
  <c r="G364" i="53" s="1"/>
  <c r="I392" i="53" a="1"/>
  <c r="I392" i="53" s="1"/>
  <c r="O262" i="53" l="1"/>
  <c r="Q262" i="53"/>
  <c r="O149" i="53"/>
  <c r="Q149" i="53"/>
  <c r="Q140" i="53"/>
  <c r="O140" i="53"/>
  <c r="O377" i="53"/>
  <c r="Q377" i="53"/>
  <c r="O254" i="53"/>
  <c r="Q254" i="53"/>
  <c r="O130" i="53"/>
  <c r="Q130" i="53"/>
  <c r="O129" i="53"/>
  <c r="Q129" i="53"/>
  <c r="O155" i="53"/>
  <c r="Q155" i="53"/>
  <c r="Q133" i="53"/>
  <c r="O133" i="53"/>
  <c r="Q362" i="53"/>
  <c r="O362" i="53"/>
  <c r="O382" i="53"/>
  <c r="Q382" i="53"/>
  <c r="Q40" i="53"/>
  <c r="O40" i="53"/>
  <c r="O125" i="53"/>
  <c r="Q125" i="53"/>
  <c r="O261" i="53"/>
  <c r="Q261" i="53"/>
  <c r="Q18" i="53"/>
  <c r="O18" i="53"/>
  <c r="O359" i="53"/>
  <c r="Q359" i="53"/>
  <c r="O370" i="53"/>
  <c r="Q370" i="53"/>
  <c r="Q22" i="53"/>
  <c r="O22" i="53"/>
  <c r="Q32" i="53"/>
  <c r="O32" i="53"/>
  <c r="Q384" i="53"/>
  <c r="O384" i="53"/>
  <c r="Q12" i="53"/>
  <c r="O12" i="53"/>
  <c r="Q259" i="53"/>
  <c r="O259" i="53"/>
  <c r="Q144" i="53"/>
  <c r="O144" i="53"/>
  <c r="Q255" i="53"/>
  <c r="O255" i="53"/>
  <c r="Q266" i="53"/>
  <c r="O266" i="53"/>
  <c r="O245" i="53"/>
  <c r="Q245" i="53"/>
  <c r="O271" i="53"/>
  <c r="Q271" i="53"/>
  <c r="O368" i="53"/>
  <c r="Q368" i="53"/>
  <c r="O26" i="53"/>
  <c r="Q26" i="53"/>
  <c r="O150" i="53"/>
  <c r="Q150" i="53"/>
  <c r="O260" i="53"/>
  <c r="Q260" i="53"/>
  <c r="Q381" i="53"/>
  <c r="O381" i="53"/>
  <c r="Q131" i="53"/>
  <c r="O131" i="53"/>
  <c r="O392" i="53"/>
  <c r="Q392" i="53"/>
  <c r="Q253" i="53"/>
  <c r="O253" i="53"/>
  <c r="Q252" i="53"/>
  <c r="O252" i="53"/>
  <c r="O13" i="53"/>
  <c r="Q13" i="53"/>
  <c r="Q374" i="53"/>
  <c r="O374" i="53"/>
  <c r="Q25" i="53"/>
  <c r="O25" i="53"/>
  <c r="Q242" i="53"/>
  <c r="O242" i="53"/>
  <c r="Q143" i="53"/>
  <c r="O143" i="53"/>
  <c r="Q269" i="53"/>
  <c r="O269" i="53"/>
  <c r="Q375" i="53"/>
  <c r="O375" i="53"/>
  <c r="Q265" i="53"/>
  <c r="O265" i="53"/>
  <c r="Q15" i="53"/>
  <c r="O15" i="53"/>
  <c r="O389" i="53"/>
  <c r="Q389" i="53"/>
  <c r="O272" i="53"/>
  <c r="Q272" i="53"/>
  <c r="Q367" i="53"/>
  <c r="O367" i="53"/>
  <c r="Q19" i="53"/>
  <c r="O19" i="53"/>
  <c r="O244" i="53"/>
  <c r="Q244" i="53"/>
  <c r="Q366" i="53"/>
  <c r="O366" i="53"/>
  <c r="Q249" i="53"/>
  <c r="O249" i="53"/>
  <c r="Q268" i="53"/>
  <c r="O268" i="53"/>
  <c r="Q36" i="53"/>
  <c r="O36" i="53"/>
  <c r="O256" i="53"/>
  <c r="Q256" i="53"/>
  <c r="Q247" i="53"/>
  <c r="O247" i="53"/>
  <c r="Q132" i="53"/>
  <c r="O132" i="53"/>
  <c r="O128" i="53"/>
  <c r="Q128" i="53"/>
  <c r="O11" i="53"/>
  <c r="Q11" i="53"/>
  <c r="Q360" i="53"/>
  <c r="O360" i="53"/>
  <c r="Q23" i="53"/>
  <c r="O23" i="53"/>
  <c r="O27" i="53"/>
  <c r="Q27" i="53"/>
  <c r="O152" i="53"/>
  <c r="Q152" i="53"/>
  <c r="Q387" i="53"/>
  <c r="O387" i="53"/>
  <c r="O151" i="53"/>
  <c r="Q151" i="53"/>
  <c r="Q361" i="53"/>
  <c r="O361" i="53"/>
  <c r="Q364" i="53"/>
  <c r="O364" i="53"/>
  <c r="Q41" i="53"/>
  <c r="O41" i="53"/>
  <c r="O251" i="53"/>
  <c r="Q251" i="53"/>
  <c r="O358" i="53"/>
  <c r="Q358" i="53"/>
  <c r="Q33" i="53"/>
  <c r="O33" i="53"/>
  <c r="Q20" i="53"/>
  <c r="O20" i="53"/>
  <c r="Q8" i="53"/>
  <c r="O8" i="53"/>
  <c r="O10" i="53"/>
  <c r="Q10" i="53"/>
  <c r="Q365" i="53"/>
  <c r="O365" i="53"/>
  <c r="O388" i="53"/>
  <c r="Q388" i="53"/>
  <c r="O371" i="53"/>
  <c r="Q371" i="53"/>
  <c r="Q24" i="53"/>
  <c r="O24" i="53"/>
  <c r="O363" i="53"/>
  <c r="Q363" i="53"/>
  <c r="O126" i="53"/>
  <c r="Q126" i="53"/>
  <c r="Q275" i="53"/>
  <c r="O275" i="53"/>
  <c r="O250" i="53"/>
  <c r="Q250" i="53"/>
  <c r="O21" i="53"/>
  <c r="Q21" i="53"/>
  <c r="Q383" i="53"/>
  <c r="O383" i="53"/>
  <c r="Q31" i="53"/>
  <c r="O31" i="53"/>
  <c r="O267" i="53"/>
  <c r="Q267" i="53"/>
  <c r="Q30" i="53"/>
  <c r="O30" i="53"/>
  <c r="Q28" i="53"/>
  <c r="O28" i="53"/>
  <c r="O376" i="53"/>
  <c r="Q376" i="53"/>
  <c r="O138" i="53"/>
  <c r="Q138" i="53"/>
  <c r="Q386" i="53"/>
  <c r="O386" i="53"/>
  <c r="O37" i="53"/>
  <c r="Q37" i="53"/>
  <c r="O34" i="53"/>
  <c r="Q34" i="53"/>
  <c r="O139" i="53"/>
  <c r="Q139" i="53"/>
  <c r="O258" i="53"/>
  <c r="Q258" i="53"/>
  <c r="O134" i="53"/>
  <c r="Q134" i="53"/>
  <c r="O127" i="53"/>
  <c r="Q127" i="53"/>
  <c r="Q390" i="53"/>
  <c r="O390" i="53"/>
  <c r="O154" i="53"/>
  <c r="Q154" i="53"/>
  <c r="Q17" i="53"/>
  <c r="O17" i="53"/>
  <c r="Q391" i="53"/>
  <c r="O391" i="53"/>
  <c r="Q153" i="53"/>
  <c r="O153" i="53"/>
  <c r="Q248" i="53"/>
  <c r="O248" i="53"/>
  <c r="O137" i="53"/>
  <c r="Q137" i="53"/>
  <c r="O35" i="53"/>
  <c r="Q35" i="53"/>
  <c r="Q142" i="53"/>
  <c r="O142" i="53"/>
  <c r="Q157" i="53"/>
  <c r="O157" i="53"/>
  <c r="O385" i="53"/>
  <c r="Q385" i="53"/>
  <c r="O156" i="53"/>
  <c r="Q156" i="53"/>
  <c r="O14" i="53"/>
  <c r="Q14" i="53"/>
  <c r="O39" i="53"/>
  <c r="Q39" i="53"/>
  <c r="O29" i="53"/>
  <c r="Q29" i="53"/>
  <c r="Q373" i="53"/>
  <c r="O373" i="53"/>
  <c r="O243" i="53"/>
  <c r="Q243" i="53"/>
  <c r="Q369" i="53"/>
  <c r="O369" i="53"/>
  <c r="O135" i="53"/>
  <c r="Q135" i="53"/>
  <c r="Q7" i="53"/>
  <c r="O7" i="53"/>
  <c r="Q246" i="53"/>
  <c r="O246" i="53"/>
  <c r="O38" i="53"/>
  <c r="Q38" i="53"/>
  <c r="Q124" i="53"/>
  <c r="O124" i="53"/>
  <c r="O146" i="53"/>
  <c r="Q146" i="53"/>
  <c r="Q241" i="53"/>
  <c r="O241" i="53"/>
  <c r="Q274" i="53"/>
  <c r="O274" i="53"/>
  <c r="O273" i="53"/>
  <c r="Q273" i="53"/>
  <c r="Q16" i="53"/>
  <c r="O16" i="53"/>
  <c r="Q379" i="53"/>
  <c r="O379" i="53"/>
  <c r="Q263" i="53"/>
  <c r="O263" i="53"/>
  <c r="O136" i="53"/>
  <c r="Q136" i="53"/>
  <c r="O147" i="53"/>
  <c r="Q147" i="53"/>
  <c r="O9" i="53"/>
  <c r="Q9" i="53"/>
  <c r="Q270" i="53"/>
  <c r="O270" i="53"/>
  <c r="Q148" i="53"/>
  <c r="O148" i="53"/>
  <c r="Q141" i="53"/>
  <c r="O141" i="53"/>
  <c r="Q264" i="53"/>
  <c r="O264" i="53"/>
  <c r="O158" i="53"/>
  <c r="Q158" i="53"/>
  <c r="Q378" i="53"/>
  <c r="O378" i="53"/>
  <c r="O380" i="53"/>
  <c r="Q380" i="53"/>
  <c r="O372" i="53"/>
  <c r="Q372" i="53"/>
  <c r="Q257" i="53"/>
  <c r="O257" i="53"/>
  <c r="O145" i="53"/>
  <c r="Q145" i="53"/>
  <c r="P440" i="54"/>
  <c r="O595" i="54"/>
  <c r="H604" i="54"/>
  <c r="L584" i="54"/>
  <c r="H558" i="54"/>
  <c r="L576" i="54"/>
  <c r="F817" i="54"/>
  <c r="U589" i="54"/>
  <c r="J548" i="54"/>
  <c r="U581" i="54"/>
  <c r="H605" i="54"/>
  <c r="O596" i="54"/>
  <c r="I544" i="54"/>
  <c r="F800" i="54"/>
  <c r="K602" i="54"/>
  <c r="I636" i="54"/>
  <c r="F814" i="54"/>
  <c r="J539" i="54"/>
  <c r="J602" i="54"/>
  <c r="H550" i="54"/>
  <c r="S584" i="54"/>
  <c r="L603" i="54"/>
  <c r="J551" i="54"/>
  <c r="U594" i="54"/>
  <c r="J605" i="54"/>
  <c r="S587" i="54"/>
  <c r="I623" i="54"/>
  <c r="K600" i="54"/>
  <c r="P577" i="54"/>
  <c r="I600" i="54"/>
  <c r="U595" i="54"/>
  <c r="P591" i="54"/>
  <c r="T573" i="54"/>
  <c r="I415" i="54"/>
  <c r="L597" i="54"/>
  <c r="J545" i="54"/>
  <c r="T601" i="54"/>
  <c r="K597" i="54"/>
  <c r="I631" i="54"/>
  <c r="F809" i="54"/>
  <c r="I615" i="54"/>
  <c r="O598" i="54"/>
  <c r="I546" i="54"/>
  <c r="F804" i="54"/>
  <c r="S592" i="54"/>
  <c r="O590" i="54"/>
  <c r="K605" i="54"/>
  <c r="F828" i="54"/>
  <c r="P585" i="54"/>
  <c r="L600" i="54"/>
  <c r="J559" i="54"/>
  <c r="L595" i="54"/>
  <c r="J565" i="54"/>
  <c r="J595" i="54"/>
  <c r="I572" i="54"/>
  <c r="S605" i="54"/>
  <c r="H601" i="54"/>
  <c r="O592" i="54"/>
  <c r="I614" i="54"/>
  <c r="I433" i="54"/>
  <c r="L592" i="54"/>
  <c r="I602" i="54"/>
  <c r="U597" i="54"/>
  <c r="P593" i="54"/>
  <c r="I480" i="54"/>
  <c r="P590" i="54"/>
  <c r="U605" i="54"/>
  <c r="J564" i="54"/>
  <c r="H583" i="54"/>
  <c r="I559" i="54"/>
  <c r="I634" i="54"/>
  <c r="I612" i="54"/>
  <c r="I554" i="54"/>
  <c r="I560" i="54"/>
  <c r="T594" i="54"/>
  <c r="K590" i="54"/>
  <c r="I624" i="54"/>
  <c r="F830" i="54"/>
  <c r="I596" i="54"/>
  <c r="U591" i="54"/>
  <c r="P587" i="54"/>
  <c r="J386" i="54"/>
  <c r="H566" i="54"/>
  <c r="S600" i="54"/>
  <c r="H596" i="54"/>
  <c r="O587" i="54"/>
  <c r="T423" i="54"/>
  <c r="J597" i="54"/>
  <c r="H545" i="54"/>
  <c r="J398" i="54"/>
  <c r="H588" i="54"/>
  <c r="S603" i="54"/>
  <c r="I639" i="54"/>
  <c r="I583" i="54"/>
  <c r="S579" i="54"/>
  <c r="L585" i="54"/>
  <c r="J561" i="54"/>
  <c r="J591" i="54"/>
  <c r="L573" i="54"/>
  <c r="T414" i="54"/>
  <c r="F825" i="54"/>
  <c r="I591" i="54"/>
  <c r="U586" i="54"/>
  <c r="P582" i="54"/>
  <c r="H573" i="54"/>
  <c r="I562" i="54"/>
  <c r="T596" i="54"/>
  <c r="K592" i="54"/>
  <c r="I626" i="54"/>
  <c r="U431" i="54"/>
  <c r="P601" i="54"/>
  <c r="H575" i="54"/>
  <c r="T593" i="54"/>
  <c r="U417" i="54"/>
  <c r="T588" i="54"/>
  <c r="H559" i="54"/>
  <c r="S593" i="54"/>
  <c r="H589" i="54"/>
  <c r="O578" i="54"/>
  <c r="I556" i="54"/>
  <c r="T590" i="54"/>
  <c r="K586" i="54"/>
  <c r="P581" i="54"/>
  <c r="I610" i="54"/>
  <c r="J556" i="54"/>
  <c r="J586" i="54"/>
  <c r="K581" i="54"/>
  <c r="T571" i="54"/>
  <c r="L587" i="54"/>
  <c r="H599" i="54"/>
  <c r="T580" i="54"/>
  <c r="I575" i="54"/>
  <c r="I594" i="54"/>
  <c r="I407" i="54"/>
  <c r="O419" i="54"/>
  <c r="J589" i="54"/>
  <c r="I640" i="54"/>
  <c r="F818" i="54"/>
  <c r="I584" i="54"/>
  <c r="J577" i="54"/>
  <c r="H400" i="54"/>
  <c r="P603" i="54"/>
  <c r="K580" i="54"/>
  <c r="J447" i="54"/>
  <c r="O603" i="54"/>
  <c r="I551" i="54"/>
  <c r="T585" i="54"/>
  <c r="H580" i="54"/>
  <c r="I447" i="54"/>
  <c r="H561" i="54"/>
  <c r="S595" i="54"/>
  <c r="H591" i="54"/>
  <c r="O582" i="54"/>
  <c r="I599" i="54"/>
  <c r="K576" i="54"/>
  <c r="J594" i="54"/>
  <c r="H553" i="54"/>
  <c r="K589" i="54"/>
  <c r="T604" i="54"/>
  <c r="F812" i="54"/>
  <c r="K584" i="54"/>
  <c r="L601" i="54"/>
  <c r="J549" i="54"/>
  <c r="I395" i="54"/>
  <c r="H555" i="54"/>
  <c r="S589" i="54"/>
  <c r="H585" i="54"/>
  <c r="H579" i="54"/>
  <c r="L445" i="54"/>
  <c r="U602" i="54"/>
  <c r="P598" i="54"/>
  <c r="J540" i="54"/>
  <c r="J445" i="54"/>
  <c r="I642" i="54"/>
  <c r="F820" i="54"/>
  <c r="I586" i="54"/>
  <c r="J581" i="54"/>
  <c r="O604" i="54"/>
  <c r="I552" i="54"/>
  <c r="T586" i="54"/>
  <c r="I582" i="54"/>
  <c r="L605" i="54"/>
  <c r="J553" i="54"/>
  <c r="J583" i="54"/>
  <c r="L575" i="54"/>
  <c r="T430" i="54"/>
  <c r="P257" i="54"/>
  <c r="P266" i="54"/>
  <c r="H275" i="54"/>
  <c r="P277" i="54"/>
  <c r="J273" i="54"/>
  <c r="I315" i="54"/>
  <c r="J240" i="54"/>
  <c r="K281" i="54"/>
  <c r="J262" i="54"/>
  <c r="J232" i="54"/>
  <c r="O276" i="54"/>
  <c r="H285" i="54"/>
  <c r="P287" i="54"/>
  <c r="S289" i="54"/>
  <c r="U414" i="54"/>
  <c r="J219" i="54"/>
  <c r="K275" i="54"/>
  <c r="T279" i="54"/>
  <c r="I245" i="54"/>
  <c r="L286" i="54"/>
  <c r="J270" i="54"/>
  <c r="O278" i="54"/>
  <c r="H287" i="54"/>
  <c r="P289" i="54"/>
  <c r="S414" i="54"/>
  <c r="U273" i="54"/>
  <c r="H238" i="54"/>
  <c r="I279" i="54"/>
  <c r="F737" i="54"/>
  <c r="J413" i="54"/>
  <c r="O257" i="54"/>
  <c r="K279" i="54"/>
  <c r="I246" i="54"/>
  <c r="K416" i="54"/>
  <c r="T420" i="54"/>
  <c r="I386" i="54"/>
  <c r="L427" i="54"/>
  <c r="I310" i="54"/>
  <c r="H248" i="54"/>
  <c r="H417" i="54"/>
  <c r="P419" i="54"/>
  <c r="S421" i="54"/>
  <c r="U423" i="54"/>
  <c r="H387" i="54"/>
  <c r="I428" i="54"/>
  <c r="I316" i="54"/>
  <c r="T288" i="54"/>
  <c r="F755" i="54"/>
  <c r="J420" i="54"/>
  <c r="I465" i="54"/>
  <c r="J390" i="54"/>
  <c r="I227" i="54"/>
  <c r="J284" i="54"/>
  <c r="I383" i="54"/>
  <c r="H429" i="54"/>
  <c r="F731" i="54"/>
  <c r="H281" i="54"/>
  <c r="H289" i="54"/>
  <c r="O417" i="54"/>
  <c r="H389" i="54"/>
  <c r="O433" i="54"/>
  <c r="P275" i="54"/>
  <c r="S415" i="54"/>
  <c r="I419" i="54"/>
  <c r="J426" i="54"/>
  <c r="K432" i="54"/>
  <c r="T436" i="54"/>
  <c r="I241" i="54"/>
  <c r="F754" i="54"/>
  <c r="S420" i="54"/>
  <c r="O435" i="54"/>
  <c r="H444" i="54"/>
  <c r="J279" i="54"/>
  <c r="J378" i="54"/>
  <c r="H424" i="54"/>
  <c r="I396" i="54"/>
  <c r="S441" i="54"/>
  <c r="I405" i="54"/>
  <c r="U603" i="54"/>
  <c r="P599" i="54"/>
  <c r="I542" i="54"/>
  <c r="O600" i="54"/>
  <c r="I548" i="54"/>
  <c r="T582" i="54"/>
  <c r="J535" i="54"/>
  <c r="F692" i="54"/>
  <c r="O274" i="54"/>
  <c r="O279" i="54"/>
  <c r="J122" i="54"/>
  <c r="O263" i="54"/>
  <c r="H272" i="54"/>
  <c r="F730" i="54"/>
  <c r="J283" i="54"/>
  <c r="I328" i="54"/>
  <c r="J376" i="54"/>
  <c r="H259" i="54"/>
  <c r="H229" i="54"/>
  <c r="H282" i="54"/>
  <c r="P284" i="54"/>
  <c r="S286" i="54"/>
  <c r="U288" i="54"/>
  <c r="H375" i="54"/>
  <c r="J79" i="54"/>
  <c r="O271" i="54"/>
  <c r="F732" i="54"/>
  <c r="J285" i="54"/>
  <c r="I453" i="54"/>
  <c r="J256" i="54"/>
  <c r="J227" i="54"/>
  <c r="K277" i="54"/>
  <c r="T281" i="54"/>
  <c r="I247" i="54"/>
  <c r="L288" i="54"/>
  <c r="J241" i="54"/>
  <c r="T285" i="54"/>
  <c r="I374" i="54"/>
  <c r="H423" i="54"/>
  <c r="P425" i="54"/>
  <c r="S427" i="54"/>
  <c r="U429" i="54"/>
  <c r="O282" i="54"/>
  <c r="I460" i="54"/>
  <c r="J385" i="54"/>
  <c r="K426" i="54"/>
  <c r="J289" i="54"/>
  <c r="I377" i="54"/>
  <c r="L418" i="54"/>
  <c r="O429" i="54"/>
  <c r="L415" i="54"/>
  <c r="H380" i="54"/>
  <c r="I387" i="54"/>
  <c r="H432" i="54"/>
  <c r="S260" i="54"/>
  <c r="H81" i="54"/>
  <c r="J243" i="54"/>
  <c r="F750" i="54"/>
  <c r="P421" i="54"/>
  <c r="I463" i="54"/>
  <c r="P428" i="54"/>
  <c r="F775" i="54"/>
  <c r="J440" i="54"/>
  <c r="J238" i="54"/>
  <c r="T286" i="54"/>
  <c r="T426" i="54"/>
  <c r="J430" i="54"/>
  <c r="H439" i="54"/>
  <c r="J281" i="54"/>
  <c r="H382" i="54"/>
  <c r="J389" i="54"/>
  <c r="I431" i="54"/>
  <c r="F777" i="54"/>
  <c r="J442" i="54"/>
  <c r="F762" i="54"/>
  <c r="F776" i="54"/>
  <c r="U446" i="54"/>
  <c r="J603" i="54"/>
  <c r="H551" i="54"/>
  <c r="S585" i="54"/>
  <c r="H541" i="54"/>
  <c r="I604" i="54"/>
  <c r="U599" i="54"/>
  <c r="P595" i="54"/>
  <c r="S572" i="54"/>
  <c r="H58" i="54"/>
  <c r="S268" i="54"/>
  <c r="U257" i="54"/>
  <c r="I275" i="54"/>
  <c r="F733" i="54"/>
  <c r="K273" i="54"/>
  <c r="I240" i="54"/>
  <c r="L281" i="54"/>
  <c r="O415" i="54"/>
  <c r="K260" i="54"/>
  <c r="I230" i="54"/>
  <c r="F727" i="54"/>
  <c r="J280" i="54"/>
  <c r="I325" i="54"/>
  <c r="J250" i="54"/>
  <c r="K414" i="54"/>
  <c r="O123" i="54"/>
  <c r="T276" i="54"/>
  <c r="I242" i="54"/>
  <c r="L283" i="54"/>
  <c r="O258" i="54"/>
  <c r="H267" i="54"/>
  <c r="O275" i="54"/>
  <c r="H284" i="54"/>
  <c r="P286" i="54"/>
  <c r="S288" i="54"/>
  <c r="U413" i="54"/>
  <c r="O266" i="54"/>
  <c r="T280" i="54"/>
  <c r="J286" i="54"/>
  <c r="F756" i="54"/>
  <c r="J421" i="54"/>
  <c r="I466" i="54"/>
  <c r="J391" i="54"/>
  <c r="I249" i="54"/>
  <c r="O424" i="54"/>
  <c r="P285" i="54"/>
  <c r="U289" i="54"/>
  <c r="P416" i="54"/>
  <c r="S418" i="54"/>
  <c r="U420" i="54"/>
  <c r="H384" i="54"/>
  <c r="I425" i="54"/>
  <c r="I286" i="54"/>
  <c r="F760" i="54"/>
  <c r="F767" i="54"/>
  <c r="I267" i="54"/>
  <c r="J418" i="54"/>
  <c r="L425" i="54"/>
  <c r="I467" i="54"/>
  <c r="T431" i="54"/>
  <c r="I397" i="54"/>
  <c r="L438" i="54"/>
  <c r="J381" i="54"/>
  <c r="H427" i="54"/>
  <c r="F772" i="54"/>
  <c r="J437" i="54"/>
  <c r="I167" i="54"/>
  <c r="S282" i="54"/>
  <c r="K413" i="54"/>
  <c r="H386" i="54"/>
  <c r="T433" i="54"/>
  <c r="I399" i="54"/>
  <c r="L440" i="54"/>
  <c r="F734" i="54"/>
  <c r="J393" i="54"/>
  <c r="I442" i="54"/>
  <c r="J408" i="54"/>
  <c r="T602" i="54"/>
  <c r="K598" i="54"/>
  <c r="I632" i="54"/>
  <c r="F810" i="54"/>
  <c r="J405" i="54"/>
  <c r="J599" i="54"/>
  <c r="H547" i="54"/>
  <c r="I532" i="54"/>
  <c r="I299" i="54"/>
  <c r="T269" i="54"/>
  <c r="H237" i="54"/>
  <c r="I278" i="54"/>
  <c r="T277" i="54"/>
  <c r="I243" i="54"/>
  <c r="L284" i="54"/>
  <c r="J92" i="54"/>
  <c r="P274" i="54"/>
  <c r="H277" i="54"/>
  <c r="P279" i="54"/>
  <c r="S281" i="54"/>
  <c r="U283" i="54"/>
  <c r="H247" i="54"/>
  <c r="I288" i="54"/>
  <c r="P261" i="54"/>
  <c r="I270" i="54"/>
  <c r="I237" i="54"/>
  <c r="L278" i="54"/>
  <c r="O289" i="54"/>
  <c r="H279" i="54"/>
  <c r="P281" i="54"/>
  <c r="S283" i="54"/>
  <c r="U285" i="54"/>
  <c r="H249" i="54"/>
  <c r="I413" i="54"/>
  <c r="K268" i="54"/>
  <c r="F729" i="54"/>
  <c r="J282" i="54"/>
  <c r="I327" i="54"/>
  <c r="J375" i="54"/>
  <c r="U286" i="54"/>
  <c r="I414" i="54"/>
  <c r="I378" i="54"/>
  <c r="L419" i="54"/>
  <c r="O430" i="54"/>
  <c r="U415" i="54"/>
  <c r="H379" i="54"/>
  <c r="I420" i="54"/>
  <c r="F766" i="54"/>
  <c r="O280" i="54"/>
  <c r="O413" i="54"/>
  <c r="I457" i="54"/>
  <c r="J382" i="54"/>
  <c r="K423" i="54"/>
  <c r="T427" i="54"/>
  <c r="H278" i="54"/>
  <c r="J287" i="54"/>
  <c r="J235" i="54"/>
  <c r="T418" i="54"/>
  <c r="J422" i="54"/>
  <c r="U425" i="54"/>
  <c r="K429" i="54"/>
  <c r="H434" i="54"/>
  <c r="P436" i="54"/>
  <c r="S438" i="54"/>
  <c r="U440" i="54"/>
  <c r="I318" i="54"/>
  <c r="P288" i="54"/>
  <c r="H378" i="54"/>
  <c r="F761" i="54"/>
  <c r="I394" i="54"/>
  <c r="L435" i="54"/>
  <c r="U262" i="54"/>
  <c r="P418" i="54"/>
  <c r="H436" i="54"/>
  <c r="P438" i="54"/>
  <c r="S440" i="54"/>
  <c r="U442" i="54"/>
  <c r="H406" i="54"/>
  <c r="U426" i="54"/>
  <c r="O436" i="54"/>
  <c r="J406" i="54"/>
  <c r="O447" i="54"/>
  <c r="L593" i="54"/>
  <c r="U577" i="54"/>
  <c r="I564" i="54"/>
  <c r="T598" i="54"/>
  <c r="K594" i="54"/>
  <c r="I628" i="54"/>
  <c r="U270" i="54"/>
  <c r="K276" i="54"/>
  <c r="H221" i="54"/>
  <c r="H280" i="54"/>
  <c r="P282" i="54"/>
  <c r="S284" i="54"/>
  <c r="J275" i="54"/>
  <c r="I320" i="54"/>
  <c r="J245" i="54"/>
  <c r="K286" i="54"/>
  <c r="T413" i="54"/>
  <c r="H79" i="54"/>
  <c r="L271" i="54"/>
  <c r="P276" i="54"/>
  <c r="S278" i="54"/>
  <c r="U280" i="54"/>
  <c r="H244" i="54"/>
  <c r="I285" i="54"/>
  <c r="H255" i="54"/>
  <c r="J277" i="54"/>
  <c r="I322" i="54"/>
  <c r="J247" i="54"/>
  <c r="K288" i="54"/>
  <c r="T415" i="54"/>
  <c r="P269" i="54"/>
  <c r="I239" i="54"/>
  <c r="L280" i="54"/>
  <c r="O414" i="54"/>
  <c r="K282" i="54"/>
  <c r="O287" i="54"/>
  <c r="P417" i="54"/>
  <c r="S419" i="54"/>
  <c r="U421" i="54"/>
  <c r="H385" i="54"/>
  <c r="I426" i="54"/>
  <c r="I82" i="54"/>
  <c r="I289" i="54"/>
  <c r="J377" i="54"/>
  <c r="K418" i="54"/>
  <c r="T422" i="54"/>
  <c r="I388" i="54"/>
  <c r="L429" i="54"/>
  <c r="L268" i="54"/>
  <c r="O421" i="54"/>
  <c r="H430" i="54"/>
  <c r="S279" i="54"/>
  <c r="J249" i="54"/>
  <c r="U416" i="54"/>
  <c r="O420" i="54"/>
  <c r="U430" i="54"/>
  <c r="H394" i="54"/>
  <c r="U276" i="54"/>
  <c r="H419" i="54"/>
  <c r="H426" i="54"/>
  <c r="J432" i="54"/>
  <c r="I477" i="54"/>
  <c r="J402" i="54"/>
  <c r="I281" i="54"/>
  <c r="K289" i="54"/>
  <c r="F765" i="54"/>
  <c r="H431" i="54"/>
  <c r="P433" i="54"/>
  <c r="S435" i="54"/>
  <c r="U437" i="54"/>
  <c r="F752" i="54"/>
  <c r="U418" i="54"/>
  <c r="L422" i="54"/>
  <c r="I464" i="54"/>
  <c r="F769" i="54"/>
  <c r="J434" i="54"/>
  <c r="I479" i="54"/>
  <c r="J404" i="54"/>
  <c r="K445" i="54"/>
  <c r="H433" i="54"/>
  <c r="H440" i="54"/>
  <c r="I481" i="54"/>
  <c r="P445" i="54"/>
  <c r="S601" i="54"/>
  <c r="H597" i="54"/>
  <c r="O588" i="54"/>
  <c r="T576" i="54"/>
  <c r="I475" i="54"/>
  <c r="L589" i="54"/>
  <c r="F781" i="54"/>
  <c r="J224" i="54"/>
  <c r="S103" i="54"/>
  <c r="I222" i="54"/>
  <c r="F725" i="54"/>
  <c r="J278" i="54"/>
  <c r="I323" i="54"/>
  <c r="O284" i="54"/>
  <c r="L123" i="54"/>
  <c r="S263" i="54"/>
  <c r="I317" i="54"/>
  <c r="J242" i="54"/>
  <c r="K283" i="54"/>
  <c r="T287" i="54"/>
  <c r="I376" i="54"/>
  <c r="I219" i="54"/>
  <c r="L275" i="54"/>
  <c r="O286" i="54"/>
  <c r="H276" i="54"/>
  <c r="P278" i="54"/>
  <c r="S280" i="54"/>
  <c r="U282" i="54"/>
  <c r="H246" i="54"/>
  <c r="I287" i="54"/>
  <c r="J276" i="54"/>
  <c r="K415" i="54"/>
  <c r="I458" i="54"/>
  <c r="J383" i="54"/>
  <c r="K424" i="54"/>
  <c r="T428" i="54"/>
  <c r="O285" i="54"/>
  <c r="O416" i="54"/>
  <c r="H425" i="54"/>
  <c r="P427" i="54"/>
  <c r="S429" i="54"/>
  <c r="F736" i="54"/>
  <c r="I417" i="54"/>
  <c r="F763" i="54"/>
  <c r="J428" i="54"/>
  <c r="K417" i="54"/>
  <c r="L424" i="54"/>
  <c r="J392" i="54"/>
  <c r="K433" i="54"/>
  <c r="F726" i="54"/>
  <c r="F753" i="54"/>
  <c r="I384" i="54"/>
  <c r="I430" i="54"/>
  <c r="L282" i="54"/>
  <c r="J374" i="54"/>
  <c r="I456" i="54"/>
  <c r="I474" i="54"/>
  <c r="J399" i="54"/>
  <c r="T275" i="54"/>
  <c r="I324" i="54"/>
  <c r="J419" i="54"/>
  <c r="U422" i="54"/>
  <c r="O426" i="54"/>
  <c r="L432" i="54"/>
  <c r="O443" i="54"/>
  <c r="P413" i="54"/>
  <c r="S428" i="54"/>
  <c r="L437" i="54"/>
  <c r="H443" i="54"/>
  <c r="T445" i="54"/>
  <c r="F826" i="54"/>
  <c r="I592" i="54"/>
  <c r="U587" i="54"/>
  <c r="P583" i="54"/>
  <c r="S575" i="54"/>
  <c r="H563" i="54"/>
  <c r="S597" i="54"/>
  <c r="H593" i="54"/>
  <c r="O584" i="54"/>
  <c r="H264" i="54"/>
  <c r="H234" i="54"/>
  <c r="O115" i="54"/>
  <c r="I262" i="54"/>
  <c r="F720" i="54"/>
  <c r="L276" i="54"/>
  <c r="F709" i="54"/>
  <c r="I307" i="54"/>
  <c r="U275" i="54"/>
  <c r="H239" i="54"/>
  <c r="I280" i="54"/>
  <c r="F738" i="54"/>
  <c r="J414" i="54"/>
  <c r="T264" i="54"/>
  <c r="O281" i="54"/>
  <c r="H413" i="54"/>
  <c r="P415" i="54"/>
  <c r="I259" i="54"/>
  <c r="F717" i="54"/>
  <c r="S275" i="54"/>
  <c r="U277" i="54"/>
  <c r="H241" i="54"/>
  <c r="F241" i="54" s="1"/>
  <c r="I282" i="54"/>
  <c r="F751" i="54"/>
  <c r="S271" i="54"/>
  <c r="I319" i="54"/>
  <c r="J244" i="54"/>
  <c r="K285" i="54"/>
  <c r="T289" i="54"/>
  <c r="O277" i="54"/>
  <c r="T283" i="54"/>
  <c r="O422" i="54"/>
  <c r="F712" i="54"/>
  <c r="L413" i="54"/>
  <c r="F758" i="54"/>
  <c r="J423" i="54"/>
  <c r="I468" i="54"/>
  <c r="S287" i="54"/>
  <c r="H376" i="54"/>
  <c r="T419" i="54"/>
  <c r="I385" i="54"/>
  <c r="L426" i="54"/>
  <c r="H243" i="54"/>
  <c r="T417" i="54"/>
  <c r="I421" i="54"/>
  <c r="L428" i="54"/>
  <c r="O431" i="54"/>
  <c r="U279" i="54"/>
  <c r="T278" i="54"/>
  <c r="L287" i="54"/>
  <c r="F757" i="54"/>
  <c r="S423" i="54"/>
  <c r="J388" i="54"/>
  <c r="S430" i="54"/>
  <c r="U432" i="54"/>
  <c r="H396" i="54"/>
  <c r="I437" i="54"/>
  <c r="T261" i="54"/>
  <c r="I375" i="54"/>
  <c r="O418" i="54"/>
  <c r="O425" i="54"/>
  <c r="O438" i="54"/>
  <c r="L277" i="54"/>
  <c r="H416" i="54"/>
  <c r="I423" i="54"/>
  <c r="K430" i="54"/>
  <c r="S432" i="54"/>
  <c r="U434" i="54"/>
  <c r="H398" i="54"/>
  <c r="I439" i="54"/>
  <c r="H415" i="54"/>
  <c r="P422" i="54"/>
  <c r="T437" i="54"/>
  <c r="J557" i="54"/>
  <c r="J587" i="54"/>
  <c r="I644" i="54"/>
  <c r="F822" i="54"/>
  <c r="I588" i="54"/>
  <c r="U583" i="54"/>
  <c r="J436" i="54"/>
  <c r="K265" i="54"/>
  <c r="I235" i="54"/>
  <c r="I238" i="54"/>
  <c r="I122" i="54"/>
  <c r="L263" i="54"/>
  <c r="S276" i="54"/>
  <c r="U278" i="54"/>
  <c r="H242" i="54"/>
  <c r="I283" i="54"/>
  <c r="J237" i="54"/>
  <c r="K278" i="54"/>
  <c r="T282" i="54"/>
  <c r="I248" i="54"/>
  <c r="L289" i="54"/>
  <c r="U265" i="54"/>
  <c r="I277" i="54"/>
  <c r="F735" i="54"/>
  <c r="J288" i="54"/>
  <c r="L260" i="54"/>
  <c r="I314" i="54"/>
  <c r="J239" i="54"/>
  <c r="K280" i="54"/>
  <c r="T284" i="54"/>
  <c r="I250" i="54"/>
  <c r="L414" i="54"/>
  <c r="I302" i="54"/>
  <c r="T272" i="54"/>
  <c r="O283" i="54"/>
  <c r="H250" i="54"/>
  <c r="H377" i="54"/>
  <c r="I418" i="54"/>
  <c r="F764" i="54"/>
  <c r="J429" i="54"/>
  <c r="I452" i="54"/>
  <c r="I380" i="54"/>
  <c r="L421" i="54"/>
  <c r="H283" i="54"/>
  <c r="H422" i="54"/>
  <c r="P424" i="54"/>
  <c r="S426" i="54"/>
  <c r="U428" i="54"/>
  <c r="I244" i="54"/>
  <c r="T421" i="54"/>
  <c r="J425" i="54"/>
  <c r="O288" i="54"/>
  <c r="I469" i="54"/>
  <c r="J394" i="54"/>
  <c r="K435" i="54"/>
  <c r="T439" i="54"/>
  <c r="U284" i="54"/>
  <c r="K422" i="54"/>
  <c r="P429" i="54"/>
  <c r="H393" i="54"/>
  <c r="I434" i="54"/>
  <c r="H240" i="54"/>
  <c r="S416" i="54"/>
  <c r="I381" i="54"/>
  <c r="I427" i="54"/>
  <c r="I471" i="54"/>
  <c r="J396" i="54"/>
  <c r="K437" i="54"/>
  <c r="T441" i="54"/>
  <c r="I416" i="54"/>
  <c r="L423" i="54"/>
  <c r="L430" i="54"/>
  <c r="H438" i="54"/>
  <c r="K441" i="54"/>
  <c r="U443" i="54"/>
  <c r="J446" i="54"/>
  <c r="H533" i="54"/>
  <c r="I574" i="54"/>
  <c r="U427" i="54"/>
  <c r="J433" i="54"/>
  <c r="K440" i="54"/>
  <c r="P283" i="54"/>
  <c r="H418" i="54"/>
  <c r="K425" i="54"/>
  <c r="T435" i="54"/>
  <c r="J439" i="54"/>
  <c r="F779" i="54"/>
  <c r="I533" i="54"/>
  <c r="L574" i="54"/>
  <c r="I455" i="54"/>
  <c r="K428" i="54"/>
  <c r="I402" i="54"/>
  <c r="S444" i="54"/>
  <c r="S573" i="54"/>
  <c r="J537" i="54"/>
  <c r="K578" i="54"/>
  <c r="L279" i="54"/>
  <c r="K421" i="54"/>
  <c r="I470" i="54"/>
  <c r="I484" i="54"/>
  <c r="U571" i="54"/>
  <c r="O581" i="54"/>
  <c r="T425" i="54"/>
  <c r="J401" i="54"/>
  <c r="H408" i="54"/>
  <c r="S417" i="54"/>
  <c r="H390" i="54"/>
  <c r="H397" i="54"/>
  <c r="J441" i="54"/>
  <c r="T444" i="54"/>
  <c r="U447" i="54"/>
  <c r="H576" i="54"/>
  <c r="P578" i="54"/>
  <c r="S580" i="54"/>
  <c r="H383" i="54"/>
  <c r="O432" i="54"/>
  <c r="I438" i="54"/>
  <c r="T442" i="54"/>
  <c r="H407" i="54"/>
  <c r="F802" i="54"/>
  <c r="J579" i="54"/>
  <c r="H403" i="54"/>
  <c r="F807" i="54"/>
  <c r="P584" i="54"/>
  <c r="S586" i="54"/>
  <c r="U588" i="54"/>
  <c r="H552" i="54"/>
  <c r="I593" i="54"/>
  <c r="F827" i="54"/>
  <c r="J604" i="54"/>
  <c r="H537" i="54"/>
  <c r="S583" i="54"/>
  <c r="U585" i="54"/>
  <c r="H549" i="54"/>
  <c r="I590" i="54"/>
  <c r="F824" i="54"/>
  <c r="J601" i="54"/>
  <c r="K574" i="54"/>
  <c r="U578" i="54"/>
  <c r="U582" i="54"/>
  <c r="H546" i="54"/>
  <c r="I587" i="54"/>
  <c r="F821" i="54"/>
  <c r="J598" i="54"/>
  <c r="I643" i="54"/>
  <c r="F759" i="54"/>
  <c r="O572" i="54"/>
  <c r="O577" i="54"/>
  <c r="J584" i="54"/>
  <c r="I629" i="54"/>
  <c r="J554" i="54"/>
  <c r="K595" i="54"/>
  <c r="T599" i="54"/>
  <c r="I565" i="54"/>
  <c r="K572" i="54"/>
  <c r="S413" i="54"/>
  <c r="U433" i="54"/>
  <c r="P437" i="54"/>
  <c r="S285" i="54"/>
  <c r="J380" i="54"/>
  <c r="I432" i="54"/>
  <c r="J397" i="54"/>
  <c r="S439" i="54"/>
  <c r="O442" i="54"/>
  <c r="I483" i="54"/>
  <c r="H447" i="54"/>
  <c r="P572" i="54"/>
  <c r="S574" i="54"/>
  <c r="F796" i="54"/>
  <c r="O576" i="54"/>
  <c r="I284" i="54"/>
  <c r="I461" i="54"/>
  <c r="T438" i="54"/>
  <c r="I446" i="54"/>
  <c r="H572" i="54"/>
  <c r="H536" i="54"/>
  <c r="I577" i="54"/>
  <c r="K427" i="54"/>
  <c r="J435" i="54"/>
  <c r="K444" i="54"/>
  <c r="P447" i="54"/>
  <c r="I391" i="54"/>
  <c r="U441" i="54"/>
  <c r="I535" i="54"/>
  <c r="I619" i="54"/>
  <c r="O423" i="54"/>
  <c r="F770" i="54"/>
  <c r="I404" i="54"/>
  <c r="P446" i="54"/>
  <c r="L572" i="54"/>
  <c r="I536" i="54"/>
  <c r="L577" i="54"/>
  <c r="I443" i="54"/>
  <c r="H578" i="54"/>
  <c r="I625" i="54"/>
  <c r="J550" i="54"/>
  <c r="K591" i="54"/>
  <c r="T595" i="54"/>
  <c r="I561" i="54"/>
  <c r="L602" i="54"/>
  <c r="K439" i="54"/>
  <c r="L571" i="54"/>
  <c r="I622" i="54"/>
  <c r="J547" i="54"/>
  <c r="K588" i="54"/>
  <c r="T592" i="54"/>
  <c r="I558" i="54"/>
  <c r="L599" i="54"/>
  <c r="J395" i="54"/>
  <c r="O579" i="54"/>
  <c r="J544" i="54"/>
  <c r="K585" i="54"/>
  <c r="T589" i="54"/>
  <c r="I555" i="54"/>
  <c r="L596" i="54"/>
  <c r="J534" i="54"/>
  <c r="L582" i="54"/>
  <c r="O593" i="54"/>
  <c r="H602" i="54"/>
  <c r="P604" i="54"/>
  <c r="I440" i="54"/>
  <c r="P258" i="54"/>
  <c r="J415" i="54"/>
  <c r="L434" i="54"/>
  <c r="I476" i="54"/>
  <c r="H402" i="54"/>
  <c r="K287" i="54"/>
  <c r="H381" i="54"/>
  <c r="H388" i="54"/>
  <c r="H445" i="54"/>
  <c r="H226" i="54"/>
  <c r="U419" i="54"/>
  <c r="J403" i="54"/>
  <c r="P571" i="54"/>
  <c r="O574" i="54"/>
  <c r="F806" i="54"/>
  <c r="U287" i="54"/>
  <c r="I424" i="54"/>
  <c r="S433" i="54"/>
  <c r="O439" i="54"/>
  <c r="P443" i="54"/>
  <c r="S446" i="54"/>
  <c r="K575" i="54"/>
  <c r="T579" i="54"/>
  <c r="I441" i="54"/>
  <c r="L420" i="54"/>
  <c r="K431" i="54"/>
  <c r="H442" i="54"/>
  <c r="S445" i="54"/>
  <c r="H288" i="54"/>
  <c r="F771" i="54"/>
  <c r="T572" i="54"/>
  <c r="P575" i="54"/>
  <c r="S577" i="54"/>
  <c r="U579" i="54"/>
  <c r="H543" i="54"/>
  <c r="P444" i="54"/>
  <c r="H574" i="54"/>
  <c r="O589" i="54"/>
  <c r="H598" i="54"/>
  <c r="P600" i="54"/>
  <c r="S602" i="54"/>
  <c r="U604" i="54"/>
  <c r="F797" i="54"/>
  <c r="I538" i="54"/>
  <c r="O586" i="54"/>
  <c r="H595" i="54"/>
  <c r="P597" i="54"/>
  <c r="S599" i="54"/>
  <c r="U601" i="54"/>
  <c r="H565" i="54"/>
  <c r="O583" i="54"/>
  <c r="H592" i="54"/>
  <c r="P594" i="54"/>
  <c r="S596" i="54"/>
  <c r="U598" i="54"/>
  <c r="H562" i="54"/>
  <c r="I603" i="54"/>
  <c r="I429" i="54"/>
  <c r="T443" i="54"/>
  <c r="S582" i="54"/>
  <c r="U584" i="54"/>
  <c r="H548" i="54"/>
  <c r="I589" i="54"/>
  <c r="F823" i="54"/>
  <c r="J600" i="54"/>
  <c r="I422" i="54"/>
  <c r="L416" i="54"/>
  <c r="P423" i="54"/>
  <c r="T434" i="54"/>
  <c r="J438" i="54"/>
  <c r="O441" i="54"/>
  <c r="I459" i="54"/>
  <c r="L433" i="54"/>
  <c r="F774" i="54"/>
  <c r="O440" i="54"/>
  <c r="F728" i="54"/>
  <c r="H421" i="54"/>
  <c r="T574" i="54"/>
  <c r="I540" i="54"/>
  <c r="L581" i="54"/>
  <c r="H374" i="54"/>
  <c r="S425" i="54"/>
  <c r="H401" i="54"/>
  <c r="H582" i="54"/>
  <c r="H391" i="54"/>
  <c r="I406" i="54"/>
  <c r="I393" i="54"/>
  <c r="U574" i="54"/>
  <c r="H538" i="54"/>
  <c r="I579" i="54"/>
  <c r="P414" i="54"/>
  <c r="P426" i="54"/>
  <c r="I408" i="54"/>
  <c r="F798" i="54"/>
  <c r="I616" i="54"/>
  <c r="J541" i="54"/>
  <c r="K582" i="54"/>
  <c r="O445" i="54"/>
  <c r="I613" i="54"/>
  <c r="K579" i="54"/>
  <c r="H544" i="54"/>
  <c r="I585" i="54"/>
  <c r="F819" i="54"/>
  <c r="J596" i="54"/>
  <c r="I641" i="54"/>
  <c r="J566" i="54"/>
  <c r="I462" i="54"/>
  <c r="L442" i="54"/>
  <c r="J543" i="54"/>
  <c r="F816" i="54"/>
  <c r="J593" i="54"/>
  <c r="I638" i="54"/>
  <c r="J563" i="54"/>
  <c r="K604" i="54"/>
  <c r="S447" i="54"/>
  <c r="F801" i="54"/>
  <c r="F813" i="54"/>
  <c r="J590" i="54"/>
  <c r="I635" i="54"/>
  <c r="J560" i="54"/>
  <c r="K601" i="54"/>
  <c r="T605" i="54"/>
  <c r="P432" i="54"/>
  <c r="H540" i="54"/>
  <c r="I621" i="54"/>
  <c r="J546" i="54"/>
  <c r="K587" i="54"/>
  <c r="T591" i="54"/>
  <c r="I557" i="54"/>
  <c r="L598" i="54"/>
  <c r="I534" i="54"/>
  <c r="P280" i="54"/>
  <c r="J417" i="54"/>
  <c r="J424" i="54"/>
  <c r="F768" i="54"/>
  <c r="H435" i="54"/>
  <c r="I472" i="54"/>
  <c r="T440" i="54"/>
  <c r="K443" i="54"/>
  <c r="U445" i="54"/>
  <c r="H532" i="54"/>
  <c r="I573" i="54"/>
  <c r="H245" i="54"/>
  <c r="F245" i="54" s="1"/>
  <c r="H446" i="54"/>
  <c r="H577" i="54"/>
  <c r="P579" i="54"/>
  <c r="S581" i="54"/>
  <c r="I454" i="54"/>
  <c r="J427" i="54"/>
  <c r="I444" i="54"/>
  <c r="L447" i="54"/>
  <c r="K573" i="54"/>
  <c r="F803" i="54"/>
  <c r="J580" i="54"/>
  <c r="K420" i="54"/>
  <c r="J431" i="54"/>
  <c r="O437" i="54"/>
  <c r="J246" i="54"/>
  <c r="J384" i="54"/>
  <c r="F780" i="54"/>
  <c r="L446" i="54"/>
  <c r="J572" i="54"/>
  <c r="J536" i="54"/>
  <c r="K577" i="54"/>
  <c r="T581" i="54"/>
  <c r="J416" i="54"/>
  <c r="O444" i="54"/>
  <c r="O580" i="54"/>
  <c r="K256" i="54"/>
  <c r="K583" i="54"/>
  <c r="T587" i="54"/>
  <c r="I553" i="54"/>
  <c r="L594" i="54"/>
  <c r="O605" i="54"/>
  <c r="I389" i="54"/>
  <c r="J443" i="54"/>
  <c r="I578" i="54"/>
  <c r="T584" i="54"/>
  <c r="I550" i="54"/>
  <c r="L591" i="54"/>
  <c r="O602" i="54"/>
  <c r="O571" i="54"/>
  <c r="S576" i="54"/>
  <c r="H542" i="54"/>
  <c r="I547" i="54"/>
  <c r="L588" i="54"/>
  <c r="O599" i="54"/>
  <c r="K434" i="54"/>
  <c r="F783" i="54"/>
  <c r="O585" i="54"/>
  <c r="H594" i="54"/>
  <c r="P596" i="54"/>
  <c r="S598" i="54"/>
  <c r="U600" i="54"/>
  <c r="H564" i="54"/>
  <c r="I605" i="54"/>
  <c r="H405" i="54"/>
  <c r="F405" i="54" s="1"/>
  <c r="H571" i="54"/>
  <c r="P573" i="54"/>
  <c r="I321" i="54"/>
  <c r="I379" i="54"/>
  <c r="S431" i="54"/>
  <c r="I400" i="54"/>
  <c r="S422" i="54"/>
  <c r="T429" i="54"/>
  <c r="O434" i="54"/>
  <c r="F778" i="54"/>
  <c r="S443" i="54"/>
  <c r="J407" i="54"/>
  <c r="K571" i="54"/>
  <c r="L439" i="54"/>
  <c r="L443" i="54"/>
  <c r="J575" i="54"/>
  <c r="I620" i="54"/>
  <c r="O428" i="54"/>
  <c r="U435" i="54"/>
  <c r="H441" i="54"/>
  <c r="T447" i="54"/>
  <c r="I537" i="54"/>
  <c r="L578" i="54"/>
  <c r="H399" i="54"/>
  <c r="S442" i="54"/>
  <c r="I326" i="54"/>
  <c r="T424" i="54"/>
  <c r="H395" i="54"/>
  <c r="T446" i="54"/>
  <c r="O575" i="54"/>
  <c r="I390" i="54"/>
  <c r="I436" i="54"/>
  <c r="L441" i="54"/>
  <c r="U444" i="54"/>
  <c r="U573" i="54"/>
  <c r="I576" i="54"/>
  <c r="H286" i="54"/>
  <c r="I398" i="54"/>
  <c r="P580" i="54"/>
  <c r="H590" i="54"/>
  <c r="P592" i="54"/>
  <c r="S594" i="54"/>
  <c r="U596" i="54"/>
  <c r="H560" i="54"/>
  <c r="I601" i="54"/>
  <c r="P431" i="54"/>
  <c r="J574" i="54"/>
  <c r="H587" i="54"/>
  <c r="P589" i="54"/>
  <c r="S591" i="54"/>
  <c r="U593" i="54"/>
  <c r="H557" i="54"/>
  <c r="I598" i="54"/>
  <c r="I382" i="54"/>
  <c r="J533" i="54"/>
  <c r="H584" i="54"/>
  <c r="P586" i="54"/>
  <c r="S588" i="54"/>
  <c r="U590" i="54"/>
  <c r="H554" i="54"/>
  <c r="F554" i="54" s="1"/>
  <c r="I595" i="54"/>
  <c r="F829" i="54"/>
  <c r="U281" i="54"/>
  <c r="K436" i="54"/>
  <c r="I485" i="54"/>
  <c r="T575" i="54"/>
  <c r="I541" i="54"/>
  <c r="F815" i="54"/>
  <c r="J592" i="54"/>
  <c r="I637" i="54"/>
  <c r="J562" i="54"/>
  <c r="K603" i="54"/>
  <c r="L285" i="54"/>
  <c r="J387" i="54"/>
  <c r="F773" i="54"/>
  <c r="I276" i="54"/>
  <c r="K438" i="54"/>
  <c r="P441" i="54"/>
  <c r="O446" i="54"/>
  <c r="P434" i="54"/>
  <c r="I478" i="54"/>
  <c r="I611" i="54"/>
  <c r="S436" i="54"/>
  <c r="F782" i="54"/>
  <c r="J532" i="54"/>
  <c r="H535" i="54"/>
  <c r="P576" i="54"/>
  <c r="S578" i="54"/>
  <c r="U580" i="54"/>
  <c r="K284" i="54"/>
  <c r="U438" i="54"/>
  <c r="H404" i="54"/>
  <c r="F404" i="54" s="1"/>
  <c r="K446" i="54"/>
  <c r="H414" i="54"/>
  <c r="S434" i="54"/>
  <c r="I401" i="54"/>
  <c r="I482" i="54"/>
  <c r="F784" i="54"/>
  <c r="H534" i="54"/>
  <c r="F805" i="54"/>
  <c r="J582" i="54"/>
  <c r="K419" i="54"/>
  <c r="P430" i="54"/>
  <c r="U436" i="54"/>
  <c r="I445" i="54"/>
  <c r="I571" i="54"/>
  <c r="T578" i="54"/>
  <c r="T416" i="54"/>
  <c r="J400" i="54"/>
  <c r="J571" i="54"/>
  <c r="F811" i="54"/>
  <c r="J588" i="54"/>
  <c r="I633" i="54"/>
  <c r="J558" i="54"/>
  <c r="K599" i="54"/>
  <c r="T603" i="54"/>
  <c r="L579" i="54"/>
  <c r="F808" i="54"/>
  <c r="J585" i="54"/>
  <c r="I630" i="54"/>
  <c r="J555" i="54"/>
  <c r="K596" i="54"/>
  <c r="T600" i="54"/>
  <c r="I566" i="54"/>
  <c r="U424" i="54"/>
  <c r="P442" i="54"/>
  <c r="U572" i="54"/>
  <c r="T577" i="54"/>
  <c r="I543" i="54"/>
  <c r="I627" i="54"/>
  <c r="J552" i="54"/>
  <c r="K593" i="54"/>
  <c r="T597" i="54"/>
  <c r="I563" i="54"/>
  <c r="L604" i="54"/>
  <c r="I486" i="54"/>
  <c r="J576" i="54"/>
  <c r="T583" i="54"/>
  <c r="I549" i="54"/>
  <c r="L590" i="54"/>
  <c r="O601" i="54"/>
  <c r="I473" i="54"/>
  <c r="J248" i="54"/>
  <c r="T432" i="54"/>
  <c r="L417" i="54"/>
  <c r="I392" i="54"/>
  <c r="I435" i="54"/>
  <c r="J444" i="54"/>
  <c r="F799" i="54"/>
  <c r="K447" i="54"/>
  <c r="J573" i="54"/>
  <c r="U575" i="54"/>
  <c r="H539" i="54"/>
  <c r="I580" i="54"/>
  <c r="J265" i="54"/>
  <c r="H420" i="54"/>
  <c r="H392" i="54"/>
  <c r="H437" i="54"/>
  <c r="I403" i="54"/>
  <c r="P574" i="54"/>
  <c r="I617" i="54"/>
  <c r="J542" i="54"/>
  <c r="S424" i="54"/>
  <c r="P439" i="54"/>
  <c r="O427" i="54"/>
  <c r="P435" i="54"/>
  <c r="L444" i="54"/>
  <c r="O573" i="54"/>
  <c r="I539" i="54"/>
  <c r="L580" i="54"/>
  <c r="P420" i="54"/>
  <c r="L431" i="54"/>
  <c r="S437" i="54"/>
  <c r="K442" i="54"/>
  <c r="S571" i="54"/>
  <c r="H581" i="54"/>
  <c r="J538" i="54"/>
  <c r="I545" i="54"/>
  <c r="L586" i="54"/>
  <c r="O597" i="54"/>
  <c r="S277" i="54"/>
  <c r="I618" i="54"/>
  <c r="L583" i="54"/>
  <c r="O594" i="54"/>
  <c r="H603" i="54"/>
  <c r="P605" i="54"/>
  <c r="H428" i="54"/>
  <c r="J578" i="54"/>
  <c r="O591" i="54"/>
  <c r="H600" i="54"/>
  <c r="P602" i="54"/>
  <c r="S604" i="54"/>
  <c r="J379" i="54"/>
  <c r="U439" i="54"/>
  <c r="U576" i="54"/>
  <c r="I581" i="54"/>
  <c r="H586" i="54"/>
  <c r="P588" i="54"/>
  <c r="S590" i="54"/>
  <c r="U592" i="54"/>
  <c r="H556" i="54"/>
  <c r="I597" i="54"/>
  <c r="L436" i="54"/>
  <c r="L274" i="54"/>
  <c r="I233" i="54"/>
  <c r="T267" i="54"/>
  <c r="K263" i="54"/>
  <c r="J222" i="54"/>
  <c r="I297" i="54"/>
  <c r="U130" i="54"/>
  <c r="J271" i="54"/>
  <c r="F718" i="54"/>
  <c r="I260" i="54"/>
  <c r="H219" i="54"/>
  <c r="U274" i="54"/>
  <c r="S272" i="54"/>
  <c r="P270" i="54"/>
  <c r="H268" i="54"/>
  <c r="O259" i="54"/>
  <c r="F723" i="54"/>
  <c r="I265" i="54"/>
  <c r="H224" i="54"/>
  <c r="U260" i="54"/>
  <c r="S258" i="54"/>
  <c r="T129" i="54"/>
  <c r="I159" i="54"/>
  <c r="H61" i="54"/>
  <c r="H273" i="54"/>
  <c r="O264" i="54"/>
  <c r="O126" i="54"/>
  <c r="L272" i="54"/>
  <c r="I231" i="54"/>
  <c r="T265" i="54"/>
  <c r="K261" i="54"/>
  <c r="O269" i="54"/>
  <c r="L258" i="54"/>
  <c r="S128" i="54"/>
  <c r="I236" i="54"/>
  <c r="T270" i="54"/>
  <c r="K266" i="54"/>
  <c r="J225" i="54"/>
  <c r="I300" i="54"/>
  <c r="J218" i="54"/>
  <c r="J125" i="54"/>
  <c r="J274" i="54"/>
  <c r="F721" i="54"/>
  <c r="I263" i="54"/>
  <c r="H222" i="54"/>
  <c r="K271" i="54"/>
  <c r="J230" i="54"/>
  <c r="I305" i="54"/>
  <c r="J260" i="54"/>
  <c r="F707" i="54"/>
  <c r="I268" i="54"/>
  <c r="H227" i="54"/>
  <c r="U263" i="54"/>
  <c r="S261" i="54"/>
  <c r="P259" i="54"/>
  <c r="O267" i="54"/>
  <c r="I273" i="54"/>
  <c r="H232" i="54"/>
  <c r="U268" i="54"/>
  <c r="S266" i="54"/>
  <c r="P264" i="54"/>
  <c r="H262" i="54"/>
  <c r="P126" i="54"/>
  <c r="T114" i="54"/>
  <c r="O272" i="54"/>
  <c r="L261" i="54"/>
  <c r="I220" i="54"/>
  <c r="I170" i="54"/>
  <c r="F684" i="54"/>
  <c r="U105" i="54"/>
  <c r="T273" i="54"/>
  <c r="K269" i="54"/>
  <c r="J228" i="54"/>
  <c r="I303" i="54"/>
  <c r="L266" i="54"/>
  <c r="I225" i="54"/>
  <c r="T259" i="54"/>
  <c r="I218" i="54"/>
  <c r="K125" i="54"/>
  <c r="K274" i="54"/>
  <c r="J233" i="54"/>
  <c r="I308" i="54"/>
  <c r="J263" i="54"/>
  <c r="F710" i="54"/>
  <c r="I271" i="54"/>
  <c r="H230" i="54"/>
  <c r="U266" i="54"/>
  <c r="S264" i="54"/>
  <c r="P262" i="54"/>
  <c r="H260" i="54"/>
  <c r="I313" i="54"/>
  <c r="J268" i="54"/>
  <c r="F715" i="54"/>
  <c r="H217" i="54"/>
  <c r="H124" i="54"/>
  <c r="H235" i="54"/>
  <c r="U271" i="54"/>
  <c r="S269" i="54"/>
  <c r="P267" i="54"/>
  <c r="H265" i="54"/>
  <c r="L264" i="54"/>
  <c r="I223" i="54"/>
  <c r="S274" i="54"/>
  <c r="P272" i="54"/>
  <c r="H270" i="54"/>
  <c r="O261" i="54"/>
  <c r="J84" i="54"/>
  <c r="I144" i="54"/>
  <c r="L269" i="54"/>
  <c r="I228" i="54"/>
  <c r="T262" i="54"/>
  <c r="K258" i="54"/>
  <c r="J236" i="54"/>
  <c r="I311" i="54"/>
  <c r="J266" i="54"/>
  <c r="F713" i="54"/>
  <c r="J258" i="54"/>
  <c r="L128" i="54"/>
  <c r="I80" i="54"/>
  <c r="F724" i="54"/>
  <c r="I266" i="54"/>
  <c r="H225" i="54"/>
  <c r="U261" i="54"/>
  <c r="S259" i="54"/>
  <c r="U256" i="54"/>
  <c r="H274" i="54"/>
  <c r="O265" i="54"/>
  <c r="J130" i="54"/>
  <c r="L273" i="54"/>
  <c r="I232" i="54"/>
  <c r="T266" i="54"/>
  <c r="K262" i="54"/>
  <c r="J221" i="54"/>
  <c r="I296" i="54"/>
  <c r="J77" i="54"/>
  <c r="L257" i="54"/>
  <c r="I216" i="54"/>
  <c r="T127" i="54"/>
  <c r="K123" i="54"/>
  <c r="J82" i="54"/>
  <c r="L112" i="54"/>
  <c r="J131" i="54"/>
  <c r="F690" i="54"/>
  <c r="I120" i="54"/>
  <c r="H71" i="54"/>
  <c r="T97" i="54"/>
  <c r="S255" i="54"/>
  <c r="P130" i="54"/>
  <c r="H128" i="54"/>
  <c r="S113" i="54"/>
  <c r="L127" i="54"/>
  <c r="I86" i="54"/>
  <c r="T120" i="54"/>
  <c r="H117" i="54"/>
  <c r="L111" i="54"/>
  <c r="J217" i="54"/>
  <c r="I169" i="54"/>
  <c r="J124" i="54"/>
  <c r="F683" i="54"/>
  <c r="H70" i="54"/>
  <c r="I64" i="54"/>
  <c r="I255" i="54"/>
  <c r="H91" i="54"/>
  <c r="U127" i="54"/>
  <c r="S125" i="54"/>
  <c r="P123" i="54"/>
  <c r="H121" i="54"/>
  <c r="I79" i="54"/>
  <c r="S112" i="54"/>
  <c r="T106" i="54"/>
  <c r="I127" i="54"/>
  <c r="O270" i="54"/>
  <c r="L259" i="54"/>
  <c r="T255" i="54"/>
  <c r="I162" i="54"/>
  <c r="H69" i="54"/>
  <c r="T271" i="54"/>
  <c r="K267" i="54"/>
  <c r="J226" i="54"/>
  <c r="I301" i="54"/>
  <c r="L120" i="54"/>
  <c r="J59" i="54"/>
  <c r="F722" i="54"/>
  <c r="I264" i="54"/>
  <c r="H223" i="54"/>
  <c r="U259" i="54"/>
  <c r="S257" i="54"/>
  <c r="U125" i="54"/>
  <c r="F706" i="54"/>
  <c r="I125" i="54"/>
  <c r="H84" i="54"/>
  <c r="U120" i="54"/>
  <c r="P117" i="54"/>
  <c r="S111" i="54"/>
  <c r="T105" i="54"/>
  <c r="U99" i="54"/>
  <c r="H256" i="54"/>
  <c r="O124" i="54"/>
  <c r="H115" i="54"/>
  <c r="K109" i="54"/>
  <c r="P103" i="54"/>
  <c r="L255" i="54"/>
  <c r="I91" i="54"/>
  <c r="T125" i="54"/>
  <c r="K121" i="54"/>
  <c r="O118" i="54"/>
  <c r="I151" i="54"/>
  <c r="I62" i="54"/>
  <c r="J129" i="54"/>
  <c r="F688" i="54"/>
  <c r="T104" i="54"/>
  <c r="U255" i="54"/>
  <c r="S130" i="54"/>
  <c r="P128" i="54"/>
  <c r="H126" i="54"/>
  <c r="I119" i="54"/>
  <c r="K108" i="54"/>
  <c r="P102" i="54"/>
  <c r="L125" i="54"/>
  <c r="I84" i="54"/>
  <c r="I150" i="54"/>
  <c r="J61" i="54"/>
  <c r="T257" i="54"/>
  <c r="I87" i="54"/>
  <c r="K272" i="54"/>
  <c r="J231" i="54"/>
  <c r="I306" i="54"/>
  <c r="J261" i="54"/>
  <c r="F708" i="54"/>
  <c r="S131" i="54"/>
  <c r="F666" i="54"/>
  <c r="I269" i="54"/>
  <c r="H228" i="54"/>
  <c r="U264" i="54"/>
  <c r="S262" i="54"/>
  <c r="P260" i="54"/>
  <c r="H258" i="54"/>
  <c r="F689" i="54"/>
  <c r="O268" i="54"/>
  <c r="T124" i="54"/>
  <c r="I110" i="54"/>
  <c r="O129" i="54"/>
  <c r="T130" i="54"/>
  <c r="K126" i="54"/>
  <c r="J85" i="54"/>
  <c r="I160" i="54"/>
  <c r="P119" i="54"/>
  <c r="J257" i="54"/>
  <c r="F704" i="54"/>
  <c r="I123" i="54"/>
  <c r="H82" i="54"/>
  <c r="U117" i="54"/>
  <c r="J106" i="54"/>
  <c r="O100" i="54"/>
  <c r="P256" i="54"/>
  <c r="H131" i="54"/>
  <c r="O122" i="54"/>
  <c r="L130" i="54"/>
  <c r="I89" i="54"/>
  <c r="T123" i="54"/>
  <c r="I295" i="54"/>
  <c r="J127" i="54"/>
  <c r="F686" i="54"/>
  <c r="H78" i="54"/>
  <c r="I72" i="54"/>
  <c r="J105" i="54"/>
  <c r="O99" i="54"/>
  <c r="H86" i="54"/>
  <c r="F672" i="54"/>
  <c r="I274" i="54"/>
  <c r="H233" i="54"/>
  <c r="U269" i="54"/>
  <c r="S267" i="54"/>
  <c r="P265" i="54"/>
  <c r="H263" i="54"/>
  <c r="I63" i="54"/>
  <c r="O273" i="54"/>
  <c r="L262" i="54"/>
  <c r="I221" i="54"/>
  <c r="H116" i="54"/>
  <c r="T274" i="54"/>
  <c r="K270" i="54"/>
  <c r="J229" i="54"/>
  <c r="I304" i="54"/>
  <c r="J259" i="54"/>
  <c r="S123" i="54"/>
  <c r="J107" i="54"/>
  <c r="K131" i="54"/>
  <c r="J90" i="54"/>
  <c r="I165" i="54"/>
  <c r="J120" i="54"/>
  <c r="H77" i="54"/>
  <c r="I71" i="54"/>
  <c r="I104" i="54"/>
  <c r="U97" i="54"/>
  <c r="I128" i="54"/>
  <c r="H87" i="54"/>
  <c r="U123" i="54"/>
  <c r="S121" i="54"/>
  <c r="T113" i="54"/>
  <c r="U107" i="54"/>
  <c r="O127" i="54"/>
  <c r="J117" i="54"/>
  <c r="P111" i="54"/>
  <c r="I217" i="54"/>
  <c r="T128" i="54"/>
  <c r="K124" i="54"/>
  <c r="J83" i="54"/>
  <c r="I70" i="54"/>
  <c r="I103" i="54"/>
  <c r="J255" i="54"/>
  <c r="F691" i="54"/>
  <c r="I121" i="54"/>
  <c r="I118" i="54"/>
  <c r="T112" i="54"/>
  <c r="U106" i="54"/>
  <c r="S256" i="54"/>
  <c r="P131" i="54"/>
  <c r="H129" i="54"/>
  <c r="O120" i="54"/>
  <c r="K116" i="54"/>
  <c r="P110" i="54"/>
  <c r="J98" i="54"/>
  <c r="J69" i="54"/>
  <c r="L267" i="54"/>
  <c r="I226" i="54"/>
  <c r="T260" i="54"/>
  <c r="P129" i="54"/>
  <c r="J60" i="54"/>
  <c r="J234" i="54"/>
  <c r="I309" i="54"/>
  <c r="J264" i="54"/>
  <c r="F711" i="54"/>
  <c r="J113" i="54"/>
  <c r="I272" i="54"/>
  <c r="H231" i="54"/>
  <c r="U267" i="54"/>
  <c r="S265" i="54"/>
  <c r="P263" i="54"/>
  <c r="H261" i="54"/>
  <c r="L131" i="54"/>
  <c r="L104" i="54"/>
  <c r="I256" i="54"/>
  <c r="H92" i="54"/>
  <c r="U128" i="54"/>
  <c r="S126" i="54"/>
  <c r="P124" i="54"/>
  <c r="H122" i="54"/>
  <c r="I158" i="54"/>
  <c r="J115" i="54"/>
  <c r="P109" i="54"/>
  <c r="O255" i="54"/>
  <c r="L121" i="54"/>
  <c r="P118" i="54"/>
  <c r="J68" i="54"/>
  <c r="H101" i="54"/>
  <c r="T256" i="54"/>
  <c r="K129" i="54"/>
  <c r="J88" i="54"/>
  <c r="I163" i="54"/>
  <c r="I126" i="54"/>
  <c r="H85" i="54"/>
  <c r="U121" i="54"/>
  <c r="K119" i="54"/>
  <c r="J114" i="54"/>
  <c r="O108" i="54"/>
  <c r="H257" i="54"/>
  <c r="O125" i="54"/>
  <c r="J67" i="54"/>
  <c r="H100" i="54"/>
  <c r="L256" i="54"/>
  <c r="I92" i="54"/>
  <c r="T126" i="54"/>
  <c r="K122" i="54"/>
  <c r="F681" i="54"/>
  <c r="U122" i="54"/>
  <c r="J269" i="54"/>
  <c r="F716" i="54"/>
  <c r="I258" i="54"/>
  <c r="K128" i="54"/>
  <c r="F680" i="54"/>
  <c r="H236" i="54"/>
  <c r="U272" i="54"/>
  <c r="S270" i="54"/>
  <c r="P268" i="54"/>
  <c r="H266" i="54"/>
  <c r="K110" i="54"/>
  <c r="L265" i="54"/>
  <c r="I224" i="54"/>
  <c r="T258" i="54"/>
  <c r="I130" i="54"/>
  <c r="P121" i="54"/>
  <c r="P101" i="54"/>
  <c r="L126" i="54"/>
  <c r="I85" i="54"/>
  <c r="K257" i="54"/>
  <c r="J216" i="54"/>
  <c r="I168" i="54"/>
  <c r="J123" i="54"/>
  <c r="F682" i="54"/>
  <c r="I112" i="54"/>
  <c r="O106" i="54"/>
  <c r="I131" i="54"/>
  <c r="H90" i="54"/>
  <c r="U126" i="54"/>
  <c r="S124" i="54"/>
  <c r="P122" i="54"/>
  <c r="H120" i="54"/>
  <c r="U115" i="54"/>
  <c r="F665" i="54"/>
  <c r="O130" i="54"/>
  <c r="T131" i="54"/>
  <c r="K127" i="54"/>
  <c r="J86" i="54"/>
  <c r="I161" i="54"/>
  <c r="I78" i="54"/>
  <c r="I111" i="54"/>
  <c r="L105" i="54"/>
  <c r="F705" i="54"/>
  <c r="I124" i="54"/>
  <c r="H83" i="54"/>
  <c r="S119" i="54"/>
  <c r="U114" i="54"/>
  <c r="F664" i="54"/>
  <c r="J220" i="54"/>
  <c r="T121" i="54"/>
  <c r="I102" i="54"/>
  <c r="P273" i="54"/>
  <c r="H271" i="54"/>
  <c r="O262" i="54"/>
  <c r="H127" i="54"/>
  <c r="L270" i="54"/>
  <c r="I229" i="54"/>
  <c r="T263" i="54"/>
  <c r="K259" i="54"/>
  <c r="O107" i="54"/>
  <c r="I312" i="54"/>
  <c r="J267" i="54"/>
  <c r="F714" i="54"/>
  <c r="I90" i="54"/>
  <c r="K120" i="54"/>
  <c r="J128" i="54"/>
  <c r="F687" i="54"/>
  <c r="H80" i="54"/>
  <c r="U113" i="54"/>
  <c r="H63" i="54"/>
  <c r="H218" i="54"/>
  <c r="U131" i="54"/>
  <c r="S129" i="54"/>
  <c r="P127" i="54"/>
  <c r="H125" i="54"/>
  <c r="K117" i="54"/>
  <c r="S105" i="54"/>
  <c r="L124" i="54"/>
  <c r="I83" i="54"/>
  <c r="J76" i="54"/>
  <c r="H109" i="54"/>
  <c r="L103" i="54"/>
  <c r="K255" i="54"/>
  <c r="J91" i="54"/>
  <c r="I166" i="54"/>
  <c r="J121" i="54"/>
  <c r="K118" i="54"/>
  <c r="H62" i="54"/>
  <c r="I129" i="54"/>
  <c r="H88" i="54"/>
  <c r="U124" i="54"/>
  <c r="S122" i="54"/>
  <c r="P120" i="54"/>
  <c r="O116" i="54"/>
  <c r="S104" i="54"/>
  <c r="O98" i="54"/>
  <c r="O128" i="54"/>
  <c r="H119" i="54"/>
  <c r="J75" i="54"/>
  <c r="H108" i="54"/>
  <c r="K102" i="54"/>
  <c r="U258" i="54"/>
  <c r="S120" i="54"/>
  <c r="H99" i="54"/>
  <c r="I234" i="54"/>
  <c r="T268" i="54"/>
  <c r="K264" i="54"/>
  <c r="J223" i="54"/>
  <c r="I298" i="54"/>
  <c r="J87" i="54"/>
  <c r="I152" i="54"/>
  <c r="J272" i="54"/>
  <c r="F719" i="54"/>
  <c r="I261" i="54"/>
  <c r="H220" i="54"/>
  <c r="O131" i="54"/>
  <c r="S273" i="54"/>
  <c r="P271" i="54"/>
  <c r="H269" i="54"/>
  <c r="O260" i="54"/>
  <c r="H89" i="54"/>
  <c r="P255" i="54"/>
  <c r="H130" i="54"/>
  <c r="O121" i="54"/>
  <c r="F674" i="54"/>
  <c r="H107" i="54"/>
  <c r="K101" i="54"/>
  <c r="L129" i="54"/>
  <c r="I88" i="54"/>
  <c r="T122" i="54"/>
  <c r="I143" i="54"/>
  <c r="U98" i="54"/>
  <c r="I294" i="54"/>
  <c r="J126" i="54"/>
  <c r="F685" i="54"/>
  <c r="L119" i="54"/>
  <c r="O114" i="54"/>
  <c r="I257" i="54"/>
  <c r="H216" i="54"/>
  <c r="U129" i="54"/>
  <c r="S127" i="54"/>
  <c r="P125" i="54"/>
  <c r="H123" i="54"/>
  <c r="F673" i="54"/>
  <c r="K100" i="54"/>
  <c r="O256" i="54"/>
  <c r="L122" i="54"/>
  <c r="I81" i="54"/>
  <c r="I142" i="54"/>
  <c r="J97" i="54"/>
  <c r="K130" i="54"/>
  <c r="J89" i="54"/>
  <c r="I164" i="54"/>
  <c r="L113" i="54"/>
  <c r="J116" i="54"/>
  <c r="F675" i="54"/>
  <c r="I105" i="54"/>
  <c r="H64" i="54"/>
  <c r="U100" i="54"/>
  <c r="S98" i="54"/>
  <c r="L117" i="54"/>
  <c r="I76" i="54"/>
  <c r="T110" i="54"/>
  <c r="K106" i="54"/>
  <c r="J65" i="54"/>
  <c r="I140" i="54"/>
  <c r="L115" i="54"/>
  <c r="I74" i="54"/>
  <c r="T108" i="54"/>
  <c r="K104" i="54"/>
  <c r="J63" i="54"/>
  <c r="I138" i="54"/>
  <c r="T115" i="54"/>
  <c r="K111" i="54"/>
  <c r="J70" i="54"/>
  <c r="I145" i="54"/>
  <c r="J100" i="54"/>
  <c r="F659" i="54"/>
  <c r="O112" i="54"/>
  <c r="L101" i="54"/>
  <c r="I60" i="54"/>
  <c r="O110" i="54"/>
  <c r="L99" i="54"/>
  <c r="I58" i="54"/>
  <c r="F679" i="54"/>
  <c r="I113" i="54"/>
  <c r="H72" i="54"/>
  <c r="O117" i="54"/>
  <c r="L106" i="54"/>
  <c r="I65" i="54"/>
  <c r="T99" i="54"/>
  <c r="I116" i="54"/>
  <c r="H75" i="54"/>
  <c r="U111" i="54"/>
  <c r="S109" i="54"/>
  <c r="P107" i="54"/>
  <c r="H105" i="54"/>
  <c r="I114" i="54"/>
  <c r="H73" i="54"/>
  <c r="U109" i="54"/>
  <c r="S107" i="54"/>
  <c r="P105" i="54"/>
  <c r="H103" i="54"/>
  <c r="T119" i="54"/>
  <c r="J78" i="54"/>
  <c r="I153" i="54"/>
  <c r="J108" i="54"/>
  <c r="F667" i="54"/>
  <c r="I97" i="54"/>
  <c r="L109" i="54"/>
  <c r="I68" i="54"/>
  <c r="T102" i="54"/>
  <c r="K98" i="54"/>
  <c r="L107" i="54"/>
  <c r="I66" i="54"/>
  <c r="T100" i="54"/>
  <c r="U116" i="54"/>
  <c r="S114" i="54"/>
  <c r="P112" i="54"/>
  <c r="H110" i="54"/>
  <c r="O101" i="54"/>
  <c r="J81" i="54"/>
  <c r="I156" i="54"/>
  <c r="J111" i="54"/>
  <c r="F670" i="54"/>
  <c r="I100" i="54"/>
  <c r="H59" i="54"/>
  <c r="I154" i="54"/>
  <c r="J109" i="54"/>
  <c r="F668" i="54"/>
  <c r="I98" i="54"/>
  <c r="S106" i="54"/>
  <c r="S117" i="54"/>
  <c r="J73" i="54"/>
  <c r="H67" i="54"/>
  <c r="O102" i="54"/>
  <c r="P116" i="54"/>
  <c r="T111" i="54"/>
  <c r="K107" i="54"/>
  <c r="J66" i="54"/>
  <c r="I141" i="54"/>
  <c r="T98" i="54"/>
  <c r="I115" i="54"/>
  <c r="H74" i="54"/>
  <c r="U110" i="54"/>
  <c r="S108" i="54"/>
  <c r="P106" i="54"/>
  <c r="H104" i="54"/>
  <c r="H68" i="54"/>
  <c r="P100" i="54"/>
  <c r="L108" i="54"/>
  <c r="I67" i="54"/>
  <c r="T101" i="54"/>
  <c r="O103" i="54"/>
  <c r="P97" i="54"/>
  <c r="T117" i="54"/>
  <c r="I73" i="54"/>
  <c r="F678" i="54"/>
  <c r="P99" i="54"/>
  <c r="P113" i="54"/>
  <c r="I146" i="54"/>
  <c r="U101" i="54"/>
  <c r="I157" i="54"/>
  <c r="I77" i="54"/>
  <c r="I109" i="54"/>
  <c r="U104" i="54"/>
  <c r="S102" i="54"/>
  <c r="H98" i="54"/>
  <c r="O119" i="54"/>
  <c r="K97" i="54"/>
  <c r="I99" i="54"/>
  <c r="J62" i="54"/>
  <c r="O105" i="54"/>
  <c r="J102" i="54"/>
  <c r="I137" i="54"/>
  <c r="O104" i="54"/>
  <c r="J101" i="54"/>
  <c r="S118" i="54"/>
  <c r="O113" i="54"/>
  <c r="L102" i="54"/>
  <c r="I61" i="54"/>
  <c r="J80" i="54"/>
  <c r="I155" i="54"/>
  <c r="J110" i="54"/>
  <c r="F669" i="54"/>
  <c r="F662" i="54"/>
  <c r="P104" i="54"/>
  <c r="L98" i="54"/>
  <c r="P115" i="54"/>
  <c r="I148" i="54"/>
  <c r="U103" i="54"/>
  <c r="K112" i="54"/>
  <c r="I106" i="54"/>
  <c r="L118" i="54"/>
  <c r="K115" i="54"/>
  <c r="J74" i="54"/>
  <c r="I149" i="54"/>
  <c r="J104" i="54"/>
  <c r="F663" i="54"/>
  <c r="I136" i="54"/>
  <c r="U118" i="54"/>
  <c r="S116" i="54"/>
  <c r="P114" i="54"/>
  <c r="H112" i="54"/>
  <c r="T118" i="54"/>
  <c r="H114" i="54"/>
  <c r="H118" i="54"/>
  <c r="O109" i="54"/>
  <c r="K103" i="54"/>
  <c r="J103" i="54"/>
  <c r="H97" i="54"/>
  <c r="H111" i="54"/>
  <c r="S99" i="54"/>
  <c r="H76" i="54"/>
  <c r="U112" i="54"/>
  <c r="S110" i="54"/>
  <c r="P108" i="54"/>
  <c r="H106" i="54"/>
  <c r="O97" i="54"/>
  <c r="S97" i="54"/>
  <c r="L116" i="54"/>
  <c r="I75" i="54"/>
  <c r="T109" i="54"/>
  <c r="K105" i="54"/>
  <c r="J64" i="54"/>
  <c r="I139" i="54"/>
  <c r="K99" i="54"/>
  <c r="L97" i="54"/>
  <c r="F677" i="54"/>
  <c r="I107" i="54"/>
  <c r="U102" i="54"/>
  <c r="S100" i="54"/>
  <c r="I59" i="54"/>
  <c r="L114" i="54"/>
  <c r="F676" i="54"/>
  <c r="K113" i="54"/>
  <c r="F661" i="54"/>
  <c r="U108" i="54"/>
  <c r="U119" i="54"/>
  <c r="K114" i="54"/>
  <c r="I108" i="54"/>
  <c r="T116" i="54"/>
  <c r="F660" i="54"/>
  <c r="L110" i="54"/>
  <c r="I69" i="54"/>
  <c r="T103" i="54"/>
  <c r="J58" i="54"/>
  <c r="J118" i="54"/>
  <c r="H66" i="54"/>
  <c r="P98" i="54"/>
  <c r="J72" i="54"/>
  <c r="T107" i="54"/>
  <c r="H102" i="54"/>
  <c r="J119" i="54"/>
  <c r="H113" i="54"/>
  <c r="S101" i="54"/>
  <c r="S115" i="54"/>
  <c r="J71" i="54"/>
  <c r="H65" i="54"/>
  <c r="I117" i="54"/>
  <c r="J112" i="54"/>
  <c r="F671" i="54"/>
  <c r="I101" i="54"/>
  <c r="H60" i="54"/>
  <c r="J99" i="54"/>
  <c r="F658" i="54"/>
  <c r="O111" i="54"/>
  <c r="L100" i="54"/>
  <c r="I147" i="54"/>
  <c r="F381" i="54" l="1"/>
  <c r="F534" i="54"/>
  <c r="F535" i="54"/>
  <c r="F564" i="54"/>
  <c r="F388" i="54"/>
  <c r="F386" i="54"/>
  <c r="F556" i="54"/>
  <c r="F546" i="54"/>
  <c r="F544" i="54"/>
  <c r="F395" i="54"/>
  <c r="F542" i="54"/>
  <c r="I609" i="54"/>
  <c r="I451" i="54"/>
  <c r="F240" i="54"/>
  <c r="F391" i="54"/>
  <c r="F92" i="54"/>
  <c r="F377" i="54"/>
  <c r="F242" i="54"/>
  <c r="F89" i="54"/>
  <c r="F539" i="54"/>
  <c r="J570" i="54"/>
  <c r="F538" i="54"/>
  <c r="F565" i="54"/>
  <c r="F403" i="54"/>
  <c r="F234" i="54"/>
  <c r="F394" i="54"/>
  <c r="I531" i="54"/>
  <c r="F553" i="54"/>
  <c r="F558" i="54"/>
  <c r="F401" i="54"/>
  <c r="F561" i="54"/>
  <c r="F400" i="54"/>
  <c r="F566" i="54"/>
  <c r="F543" i="54"/>
  <c r="F231" i="54"/>
  <c r="I293" i="54"/>
  <c r="I135" i="54"/>
  <c r="F67" i="54"/>
  <c r="F218" i="54"/>
  <c r="F220" i="54"/>
  <c r="F227" i="54"/>
  <c r="F65" i="54"/>
  <c r="F222" i="54"/>
  <c r="F76" i="54"/>
  <c r="F219" i="54"/>
  <c r="F225" i="54"/>
  <c r="L96" i="54"/>
  <c r="K254" i="54"/>
  <c r="F64" i="54"/>
  <c r="T254" i="54"/>
  <c r="F70" i="54"/>
  <c r="F71" i="54"/>
  <c r="F221" i="54"/>
  <c r="F232" i="54"/>
  <c r="G658" i="54"/>
  <c r="M97" i="54"/>
  <c r="Q102" i="54"/>
  <c r="L695" i="67"/>
  <c r="G685" i="54"/>
  <c r="M124" i="54"/>
  <c r="J215" i="54"/>
  <c r="L749" i="67"/>
  <c r="Q268" i="54"/>
  <c r="Q571" i="54"/>
  <c r="L828" i="67"/>
  <c r="G799" i="54"/>
  <c r="M574" i="54"/>
  <c r="G814" i="54"/>
  <c r="M589" i="54"/>
  <c r="Q435" i="54"/>
  <c r="L804" i="67"/>
  <c r="H373" i="54"/>
  <c r="F374" i="54"/>
  <c r="G734" i="54"/>
  <c r="M285" i="54"/>
  <c r="J373" i="54"/>
  <c r="G803" i="54"/>
  <c r="M578" i="54"/>
  <c r="F389" i="54"/>
  <c r="G768" i="54"/>
  <c r="M431" i="54"/>
  <c r="G759" i="54"/>
  <c r="M422" i="54"/>
  <c r="F657" i="54"/>
  <c r="G672" i="54"/>
  <c r="M111" i="54"/>
  <c r="G670" i="54"/>
  <c r="M109" i="54"/>
  <c r="Q116" i="54"/>
  <c r="L709" i="67"/>
  <c r="F75" i="54"/>
  <c r="G678" i="54"/>
  <c r="M117" i="54"/>
  <c r="L697" i="67"/>
  <c r="Q104" i="54"/>
  <c r="F83" i="54"/>
  <c r="G705" i="54"/>
  <c r="M256" i="54"/>
  <c r="F236" i="54"/>
  <c r="G684" i="54"/>
  <c r="M123" i="54"/>
  <c r="G691" i="54"/>
  <c r="M130" i="54"/>
  <c r="F233" i="54"/>
  <c r="F78" i="54"/>
  <c r="Q271" i="54"/>
  <c r="L752" i="67"/>
  <c r="G677" i="54"/>
  <c r="M116" i="54"/>
  <c r="G675" i="54"/>
  <c r="M114" i="54"/>
  <c r="G676" i="54"/>
  <c r="M115" i="54"/>
  <c r="G690" i="54"/>
  <c r="M129" i="54"/>
  <c r="Q267" i="54"/>
  <c r="L748" i="67"/>
  <c r="Q262" i="54"/>
  <c r="L743" i="67"/>
  <c r="Q424" i="54"/>
  <c r="L793" i="67"/>
  <c r="L857" i="67"/>
  <c r="Q600" i="54"/>
  <c r="F560" i="54"/>
  <c r="F540" i="54"/>
  <c r="F548" i="54"/>
  <c r="G806" i="54"/>
  <c r="M581" i="54"/>
  <c r="L814" i="67"/>
  <c r="Q445" i="54"/>
  <c r="F402" i="54"/>
  <c r="L849" i="67"/>
  <c r="Q592" i="54"/>
  <c r="F552" i="54"/>
  <c r="U570" i="54"/>
  <c r="G729" i="54"/>
  <c r="M280" i="54"/>
  <c r="L833" i="67"/>
  <c r="Q576" i="54"/>
  <c r="L831" i="67"/>
  <c r="Q574" i="54"/>
  <c r="L808" i="67"/>
  <c r="Q439" i="54"/>
  <c r="G758" i="54"/>
  <c r="M421" i="54"/>
  <c r="L763" i="67"/>
  <c r="Q282" i="54"/>
  <c r="F563" i="54"/>
  <c r="P412" i="54"/>
  <c r="F244" i="54"/>
  <c r="O412" i="54"/>
  <c r="G754" i="54"/>
  <c r="M417" i="54"/>
  <c r="L764" i="67"/>
  <c r="Q283" i="54"/>
  <c r="L758" i="67"/>
  <c r="Q277" i="54"/>
  <c r="F58" i="54"/>
  <c r="H57" i="54"/>
  <c r="Q444" i="54"/>
  <c r="L813" i="67"/>
  <c r="G732" i="54"/>
  <c r="M283" i="54"/>
  <c r="Q414" i="54"/>
  <c r="L783" i="67"/>
  <c r="G730" i="54"/>
  <c r="M281" i="54"/>
  <c r="T570" i="54"/>
  <c r="F545" i="54"/>
  <c r="F550" i="54"/>
  <c r="G668" i="54"/>
  <c r="M107" i="54"/>
  <c r="G689" i="54"/>
  <c r="M128" i="54"/>
  <c r="Q259" i="54"/>
  <c r="L740" i="67"/>
  <c r="L751" i="67"/>
  <c r="Q270" i="54"/>
  <c r="L816" i="67"/>
  <c r="Q447" i="54"/>
  <c r="Q605" i="54"/>
  <c r="L862" i="67"/>
  <c r="Q417" i="54"/>
  <c r="L786" i="67"/>
  <c r="F385" i="54"/>
  <c r="G813" i="54"/>
  <c r="M588" i="54"/>
  <c r="Q422" i="54"/>
  <c r="L791" i="67"/>
  <c r="G775" i="54"/>
  <c r="M438" i="54"/>
  <c r="G666" i="54"/>
  <c r="M105" i="54"/>
  <c r="K96" i="54"/>
  <c r="F68" i="54"/>
  <c r="F74" i="54"/>
  <c r="Q108" i="54"/>
  <c r="L701" i="67"/>
  <c r="L712" i="67"/>
  <c r="Q119" i="54"/>
  <c r="G673" i="54"/>
  <c r="M112" i="54"/>
  <c r="Q107" i="54"/>
  <c r="L700" i="67"/>
  <c r="J96" i="54"/>
  <c r="F80" i="54"/>
  <c r="G714" i="54"/>
  <c r="M265" i="54"/>
  <c r="L755" i="67"/>
  <c r="Q274" i="54"/>
  <c r="G711" i="54"/>
  <c r="M262" i="54"/>
  <c r="F82" i="54"/>
  <c r="G704" i="54"/>
  <c r="M255" i="54"/>
  <c r="Q120" i="54"/>
  <c r="L713" i="67"/>
  <c r="L254" i="54"/>
  <c r="Q105" i="54"/>
  <c r="L698" i="67"/>
  <c r="L699" i="67"/>
  <c r="Q106" i="54"/>
  <c r="I215" i="54"/>
  <c r="G692" i="54"/>
  <c r="M131" i="54"/>
  <c r="G660" i="54"/>
  <c r="M99" i="54"/>
  <c r="F61" i="54"/>
  <c r="J531" i="54"/>
  <c r="Q583" i="54"/>
  <c r="L840" i="67"/>
  <c r="G811" i="54"/>
  <c r="M586" i="54"/>
  <c r="H531" i="54"/>
  <c r="F532" i="54"/>
  <c r="M571" i="54"/>
  <c r="G796" i="54"/>
  <c r="G797" i="54"/>
  <c r="M572" i="54"/>
  <c r="F562" i="54"/>
  <c r="Q418" i="54"/>
  <c r="L787" i="67"/>
  <c r="G752" i="54"/>
  <c r="M415" i="54"/>
  <c r="F795" i="54"/>
  <c r="Q286" i="54"/>
  <c r="L767" i="67"/>
  <c r="G737" i="54"/>
  <c r="M288" i="54"/>
  <c r="Q112" i="54"/>
  <c r="L705" i="67"/>
  <c r="L810" i="67"/>
  <c r="Q441" i="54"/>
  <c r="G765" i="54"/>
  <c r="M428" i="54"/>
  <c r="F246" i="54"/>
  <c r="G720" i="54"/>
  <c r="M271" i="54"/>
  <c r="F271" i="54" s="1"/>
  <c r="Q429" i="54"/>
  <c r="L798" i="67"/>
  <c r="F378" i="54"/>
  <c r="G766" i="54"/>
  <c r="M429" i="54"/>
  <c r="F379" i="54"/>
  <c r="Q413" i="54"/>
  <c r="L782" i="67"/>
  <c r="G707" i="54"/>
  <c r="M258" i="54"/>
  <c r="F547" i="54"/>
  <c r="K412" i="54"/>
  <c r="G770" i="54"/>
  <c r="M433" i="54"/>
  <c r="G725" i="54"/>
  <c r="M276" i="54"/>
  <c r="F541" i="54"/>
  <c r="G778" i="54"/>
  <c r="M441" i="54"/>
  <c r="F382" i="54"/>
  <c r="F749" i="54"/>
  <c r="F380" i="54"/>
  <c r="Q275" i="54"/>
  <c r="L756" i="67"/>
  <c r="I373" i="54"/>
  <c r="G757" i="54"/>
  <c r="M420" i="54"/>
  <c r="L799" i="67"/>
  <c r="Q430" i="54"/>
  <c r="F248" i="54"/>
  <c r="G815" i="54"/>
  <c r="M590" i="54"/>
  <c r="Q588" i="54"/>
  <c r="L845" i="67"/>
  <c r="Q593" i="54"/>
  <c r="L850" i="67"/>
  <c r="Q577" i="54"/>
  <c r="L834" i="67"/>
  <c r="L691" i="67"/>
  <c r="Q98" i="54"/>
  <c r="G671" i="54"/>
  <c r="M110" i="54"/>
  <c r="U96" i="54"/>
  <c r="P570" i="54"/>
  <c r="Q601" i="54"/>
  <c r="L858" i="67"/>
  <c r="F60" i="54"/>
  <c r="H96" i="54"/>
  <c r="G664" i="54"/>
  <c r="M103" i="54"/>
  <c r="Q111" i="54"/>
  <c r="L704" i="67"/>
  <c r="Q118" i="54"/>
  <c r="L711" i="67"/>
  <c r="F88" i="54"/>
  <c r="Q126" i="54"/>
  <c r="L719" i="67"/>
  <c r="F85" i="54"/>
  <c r="Q123" i="54"/>
  <c r="L716" i="67"/>
  <c r="F77" i="54"/>
  <c r="Q113" i="54"/>
  <c r="L706" i="67"/>
  <c r="L690" i="67"/>
  <c r="Q97" i="54"/>
  <c r="F97" i="54" s="1"/>
  <c r="Q114" i="54"/>
  <c r="L707" i="67"/>
  <c r="G659" i="54"/>
  <c r="M98" i="54"/>
  <c r="F84" i="54"/>
  <c r="Q122" i="54"/>
  <c r="L715" i="67"/>
  <c r="G717" i="54"/>
  <c r="M268" i="54"/>
  <c r="G713" i="54"/>
  <c r="M264" i="54"/>
  <c r="G708" i="54"/>
  <c r="M259" i="54"/>
  <c r="Q280" i="54"/>
  <c r="L761" i="67"/>
  <c r="Q438" i="54"/>
  <c r="L807" i="67"/>
  <c r="G830" i="54"/>
  <c r="M605" i="54"/>
  <c r="G805" i="54"/>
  <c r="M580" i="54"/>
  <c r="Q597" i="54"/>
  <c r="L854" i="67"/>
  <c r="F557" i="54"/>
  <c r="G782" i="54"/>
  <c r="M445" i="54"/>
  <c r="G774" i="54"/>
  <c r="M437" i="54"/>
  <c r="G784" i="54"/>
  <c r="M447" i="54"/>
  <c r="G818" i="54"/>
  <c r="M593" i="54"/>
  <c r="G781" i="54"/>
  <c r="M444" i="54"/>
  <c r="G801" i="54"/>
  <c r="M576" i="54"/>
  <c r="F576" i="54" s="1"/>
  <c r="G764" i="54"/>
  <c r="M427" i="54"/>
  <c r="G804" i="54"/>
  <c r="M579" i="54"/>
  <c r="G769" i="54"/>
  <c r="M432" i="54"/>
  <c r="Q589" i="54"/>
  <c r="F589" i="54" s="1"/>
  <c r="L846" i="67"/>
  <c r="F549" i="54"/>
  <c r="F383" i="54"/>
  <c r="G753" i="54"/>
  <c r="M416" i="54"/>
  <c r="F396" i="54"/>
  <c r="L765" i="67"/>
  <c r="Q284" i="54"/>
  <c r="H412" i="54"/>
  <c r="F239" i="54"/>
  <c r="Q440" i="54"/>
  <c r="L809" i="67"/>
  <c r="G760" i="54"/>
  <c r="M423" i="54"/>
  <c r="L847" i="67"/>
  <c r="Q590" i="54"/>
  <c r="G772" i="54"/>
  <c r="M435" i="54"/>
  <c r="F435" i="54" s="1"/>
  <c r="F375" i="54"/>
  <c r="F229" i="54"/>
  <c r="Q261" i="54"/>
  <c r="L742" i="67"/>
  <c r="G825" i="54"/>
  <c r="M600" i="54"/>
  <c r="G807" i="54"/>
  <c r="M582" i="54"/>
  <c r="Q586" i="54"/>
  <c r="L843" i="67"/>
  <c r="G771" i="54"/>
  <c r="M434" i="54"/>
  <c r="Q101" i="54"/>
  <c r="L694" i="67"/>
  <c r="Q115" i="54"/>
  <c r="F115" i="54" s="1"/>
  <c r="L708" i="67"/>
  <c r="Q129" i="54"/>
  <c r="F129" i="54" s="1"/>
  <c r="L722" i="67"/>
  <c r="G667" i="54"/>
  <c r="M106" i="54"/>
  <c r="G709" i="54"/>
  <c r="M260" i="54"/>
  <c r="G706" i="54"/>
  <c r="M257" i="54"/>
  <c r="G688" i="54"/>
  <c r="M127" i="54"/>
  <c r="H570" i="54"/>
  <c r="G816" i="54"/>
  <c r="M591" i="54"/>
  <c r="S412" i="54"/>
  <c r="Q289" i="54"/>
  <c r="L770" i="67"/>
  <c r="T412" i="54"/>
  <c r="J412" i="54"/>
  <c r="Q598" i="54"/>
  <c r="L855" i="67"/>
  <c r="L829" i="67"/>
  <c r="Q572" i="54"/>
  <c r="F66" i="54"/>
  <c r="P96" i="54"/>
  <c r="L710" i="67"/>
  <c r="Q117" i="54"/>
  <c r="I57" i="54"/>
  <c r="G719" i="54"/>
  <c r="M270" i="54"/>
  <c r="Q258" i="54"/>
  <c r="L739" i="67"/>
  <c r="F90" i="54"/>
  <c r="O254" i="54"/>
  <c r="F87" i="54"/>
  <c r="F86" i="54"/>
  <c r="L718" i="67"/>
  <c r="Q125" i="54"/>
  <c r="F91" i="54"/>
  <c r="F235" i="54"/>
  <c r="F230" i="54"/>
  <c r="G716" i="54"/>
  <c r="M267" i="54"/>
  <c r="F392" i="54"/>
  <c r="G776" i="54"/>
  <c r="M439" i="54"/>
  <c r="G808" i="54"/>
  <c r="M583" i="54"/>
  <c r="Q573" i="54"/>
  <c r="L830" i="67"/>
  <c r="G779" i="54"/>
  <c r="M442" i="54"/>
  <c r="L844" i="67"/>
  <c r="Q587" i="54"/>
  <c r="G822" i="54"/>
  <c r="M597" i="54"/>
  <c r="Q579" i="54"/>
  <c r="L836" i="67"/>
  <c r="F397" i="54"/>
  <c r="G783" i="54"/>
  <c r="M446" i="54"/>
  <c r="F533" i="54"/>
  <c r="Q436" i="54"/>
  <c r="L805" i="67"/>
  <c r="L789" i="67"/>
  <c r="Q420" i="54"/>
  <c r="F420" i="54" s="1"/>
  <c r="L717" i="67"/>
  <c r="Q124" i="54"/>
  <c r="F398" i="54"/>
  <c r="F243" i="54"/>
  <c r="F376" i="54"/>
  <c r="Q419" i="54"/>
  <c r="L788" i="67"/>
  <c r="G736" i="54"/>
  <c r="M287" i="54"/>
  <c r="L753" i="67"/>
  <c r="Q272" i="54"/>
  <c r="H254" i="54"/>
  <c r="G712" i="54"/>
  <c r="M263" i="54"/>
  <c r="L784" i="67"/>
  <c r="Q415" i="54"/>
  <c r="F247" i="54"/>
  <c r="F237" i="54"/>
  <c r="G762" i="54"/>
  <c r="M425" i="54"/>
  <c r="U412" i="54"/>
  <c r="G727" i="54"/>
  <c r="M278" i="54"/>
  <c r="F551" i="54"/>
  <c r="F81" i="54"/>
  <c r="L766" i="67"/>
  <c r="Q285" i="54"/>
  <c r="F387" i="54"/>
  <c r="L762" i="67"/>
  <c r="Q281" i="54"/>
  <c r="F559" i="54"/>
  <c r="L853" i="67"/>
  <c r="Q596" i="54"/>
  <c r="G812" i="54"/>
  <c r="M587" i="54"/>
  <c r="G823" i="54"/>
  <c r="M598" i="54"/>
  <c r="Q103" i="54"/>
  <c r="L696" i="67"/>
  <c r="L702" i="67"/>
  <c r="Q109" i="54"/>
  <c r="F109" i="54" s="1"/>
  <c r="S96" i="54"/>
  <c r="G680" i="54"/>
  <c r="M119" i="54"/>
  <c r="M102" i="54"/>
  <c r="G663" i="54"/>
  <c r="L724" i="67"/>
  <c r="Q131" i="54"/>
  <c r="F131" i="54" s="1"/>
  <c r="L741" i="67"/>
  <c r="Q260" i="54"/>
  <c r="L721" i="67"/>
  <c r="Q128" i="54"/>
  <c r="L736" i="67"/>
  <c r="Q255" i="54"/>
  <c r="G681" i="54"/>
  <c r="M120" i="54"/>
  <c r="U254" i="54"/>
  <c r="Q127" i="54"/>
  <c r="L720" i="67"/>
  <c r="F223" i="54"/>
  <c r="G722" i="54"/>
  <c r="M273" i="54"/>
  <c r="I254" i="54"/>
  <c r="S254" i="54"/>
  <c r="G687" i="54"/>
  <c r="M126" i="54"/>
  <c r="G721" i="54"/>
  <c r="M272" i="54"/>
  <c r="S570" i="54"/>
  <c r="G827" i="54"/>
  <c r="M602" i="54"/>
  <c r="F399" i="54"/>
  <c r="Q575" i="54"/>
  <c r="L832" i="67"/>
  <c r="L795" i="67"/>
  <c r="Q426" i="54"/>
  <c r="G777" i="54"/>
  <c r="M440" i="54"/>
  <c r="F440" i="54" s="1"/>
  <c r="F390" i="54"/>
  <c r="Q269" i="54"/>
  <c r="L750" i="67"/>
  <c r="L760" i="67"/>
  <c r="Q279" i="54"/>
  <c r="G733" i="54"/>
  <c r="M284" i="54"/>
  <c r="G751" i="54"/>
  <c r="M414" i="54"/>
  <c r="F414" i="54" s="1"/>
  <c r="G731" i="54"/>
  <c r="M282" i="54"/>
  <c r="G738" i="54"/>
  <c r="M289" i="54"/>
  <c r="G761" i="54"/>
  <c r="M424" i="54"/>
  <c r="F406" i="54"/>
  <c r="Q425" i="54"/>
  <c r="L794" i="67"/>
  <c r="L792" i="67"/>
  <c r="Q423" i="54"/>
  <c r="I412" i="54"/>
  <c r="G755" i="54"/>
  <c r="M418" i="54"/>
  <c r="L796" i="67"/>
  <c r="Q427" i="54"/>
  <c r="L851" i="67"/>
  <c r="Q594" i="54"/>
  <c r="L800" i="67"/>
  <c r="Q431" i="54"/>
  <c r="F431" i="54" s="1"/>
  <c r="G723" i="54"/>
  <c r="M274" i="54"/>
  <c r="G715" i="54"/>
  <c r="M266" i="54"/>
  <c r="Q602" i="54"/>
  <c r="L859" i="67"/>
  <c r="L839" i="67"/>
  <c r="Q582" i="54"/>
  <c r="G798" i="54"/>
  <c r="M573" i="54"/>
  <c r="L842" i="67"/>
  <c r="Q585" i="54"/>
  <c r="Q442" i="54"/>
  <c r="L811" i="67"/>
  <c r="O96" i="54"/>
  <c r="G674" i="54"/>
  <c r="M113" i="54"/>
  <c r="Q100" i="54"/>
  <c r="L693" i="67"/>
  <c r="F59" i="54"/>
  <c r="I96" i="54"/>
  <c r="G662" i="54"/>
  <c r="M101" i="54"/>
  <c r="F72" i="54"/>
  <c r="F216" i="54"/>
  <c r="H215" i="54"/>
  <c r="P254" i="54"/>
  <c r="Q263" i="54"/>
  <c r="L744" i="67"/>
  <c r="G669" i="54"/>
  <c r="M108" i="54"/>
  <c r="L737" i="67"/>
  <c r="Q256" i="54"/>
  <c r="G682" i="54"/>
  <c r="M121" i="54"/>
  <c r="M100" i="54"/>
  <c r="G661" i="54"/>
  <c r="Q130" i="54"/>
  <c r="L723" i="67"/>
  <c r="F69" i="54"/>
  <c r="Q257" i="54"/>
  <c r="L738" i="67"/>
  <c r="G683" i="54"/>
  <c r="M122" i="54"/>
  <c r="T96" i="54"/>
  <c r="L754" i="67"/>
  <c r="Q273" i="54"/>
  <c r="G710" i="54"/>
  <c r="M261" i="54"/>
  <c r="L856" i="67"/>
  <c r="Q599" i="54"/>
  <c r="G800" i="54"/>
  <c r="M575" i="54"/>
  <c r="G810" i="54"/>
  <c r="M585" i="54"/>
  <c r="Q437" i="54"/>
  <c r="L806" i="67"/>
  <c r="L841" i="67"/>
  <c r="Q584" i="54"/>
  <c r="L838" i="67"/>
  <c r="Q581" i="54"/>
  <c r="L803" i="67"/>
  <c r="Q434" i="54"/>
  <c r="F226" i="54"/>
  <c r="G802" i="54"/>
  <c r="M577" i="54"/>
  <c r="F577" i="54" s="1"/>
  <c r="G819" i="54"/>
  <c r="M594" i="54"/>
  <c r="L570" i="54"/>
  <c r="F536" i="54"/>
  <c r="G826" i="54"/>
  <c r="M601" i="54"/>
  <c r="Q580" i="54"/>
  <c r="F580" i="54" s="1"/>
  <c r="L837" i="67"/>
  <c r="G773" i="54"/>
  <c r="M436" i="54"/>
  <c r="G780" i="54"/>
  <c r="M443" i="54"/>
  <c r="F393" i="54"/>
  <c r="Q421" i="54"/>
  <c r="L790" i="67"/>
  <c r="Q278" i="54"/>
  <c r="L759" i="67"/>
  <c r="Q428" i="54"/>
  <c r="L797" i="67"/>
  <c r="Q446" i="54"/>
  <c r="L815" i="67"/>
  <c r="G767" i="54"/>
  <c r="M430" i="54"/>
  <c r="G756" i="54"/>
  <c r="M419" i="54"/>
  <c r="F249" i="54"/>
  <c r="G728" i="54"/>
  <c r="M279" i="54"/>
  <c r="L802" i="67"/>
  <c r="Q433" i="54"/>
  <c r="F433" i="54" s="1"/>
  <c r="L769" i="67"/>
  <c r="Q288" i="54"/>
  <c r="F288" i="54" s="1"/>
  <c r="F238" i="54"/>
  <c r="Q604" i="54"/>
  <c r="L861" i="67"/>
  <c r="G820" i="54"/>
  <c r="M595" i="54"/>
  <c r="J57" i="54"/>
  <c r="Q110" i="54"/>
  <c r="L703" i="67"/>
  <c r="G665" i="54"/>
  <c r="M104" i="54"/>
  <c r="Q99" i="54"/>
  <c r="L692" i="67"/>
  <c r="F73" i="54"/>
  <c r="F62" i="54"/>
  <c r="F63" i="54"/>
  <c r="J254" i="54"/>
  <c r="G686" i="54"/>
  <c r="M125" i="54"/>
  <c r="F125" i="54" s="1"/>
  <c r="F703" i="54"/>
  <c r="F228" i="54"/>
  <c r="Q266" i="54"/>
  <c r="L747" i="67"/>
  <c r="G679" i="54"/>
  <c r="M118" i="54"/>
  <c r="Q121" i="54"/>
  <c r="L714" i="67"/>
  <c r="F217" i="54"/>
  <c r="L746" i="67"/>
  <c r="Q265" i="54"/>
  <c r="F224" i="54"/>
  <c r="G718" i="54"/>
  <c r="M269" i="54"/>
  <c r="Q443" i="54"/>
  <c r="L812" i="67"/>
  <c r="G763" i="54"/>
  <c r="M426" i="54"/>
  <c r="G824" i="54"/>
  <c r="M599" i="54"/>
  <c r="I570" i="54"/>
  <c r="L801" i="67"/>
  <c r="Q432" i="54"/>
  <c r="F432" i="54" s="1"/>
  <c r="L860" i="67"/>
  <c r="Q603" i="54"/>
  <c r="Q578" i="54"/>
  <c r="F578" i="54" s="1"/>
  <c r="L835" i="67"/>
  <c r="K570" i="54"/>
  <c r="O570" i="54"/>
  <c r="L848" i="67"/>
  <c r="Q591" i="54"/>
  <c r="G726" i="54"/>
  <c r="M277" i="54"/>
  <c r="F537" i="54"/>
  <c r="Q595" i="54"/>
  <c r="L852" i="67"/>
  <c r="F407" i="54"/>
  <c r="F408" i="54"/>
  <c r="F250" i="54"/>
  <c r="G735" i="54"/>
  <c r="M286" i="54"/>
  <c r="G829" i="54"/>
  <c r="M604" i="54"/>
  <c r="L412" i="54"/>
  <c r="G809" i="54"/>
  <c r="M584" i="54"/>
  <c r="G750" i="54"/>
  <c r="M413" i="54"/>
  <c r="G724" i="54"/>
  <c r="M275" i="54"/>
  <c r="F275" i="54" s="1"/>
  <c r="Q287" i="54"/>
  <c r="L768" i="67"/>
  <c r="F79" i="54"/>
  <c r="Q416" i="54"/>
  <c r="L785" i="67"/>
  <c r="F384" i="54"/>
  <c r="Q276" i="54"/>
  <c r="F276" i="54" s="1"/>
  <c r="L757" i="67"/>
  <c r="L745" i="67"/>
  <c r="Q264" i="54"/>
  <c r="F555" i="54"/>
  <c r="G821" i="54"/>
  <c r="M596" i="54"/>
  <c r="G828" i="54"/>
  <c r="M603" i="54"/>
  <c r="G817" i="54"/>
  <c r="M592" i="54"/>
  <c r="F592" i="54" s="1"/>
  <c r="F422" i="54" l="1"/>
  <c r="F416" i="54"/>
  <c r="F99" i="54"/>
  <c r="F255" i="54"/>
  <c r="F281" i="54"/>
  <c r="F588" i="54"/>
  <c r="F572" i="54"/>
  <c r="F439" i="54"/>
  <c r="F434" i="54"/>
  <c r="F424" i="54"/>
  <c r="F415" i="54"/>
  <c r="F445" i="54"/>
  <c r="F280" i="54"/>
  <c r="F571" i="54"/>
  <c r="F441" i="54"/>
  <c r="F128" i="54"/>
  <c r="F286" i="54"/>
  <c r="F423" i="54"/>
  <c r="F274" i="54"/>
  <c r="F596" i="54"/>
  <c r="F279" i="54"/>
  <c r="F111" i="54"/>
  <c r="F584" i="54"/>
  <c r="F256" i="54"/>
  <c r="F126" i="54"/>
  <c r="F282" i="54"/>
  <c r="F114" i="54"/>
  <c r="F428" i="54"/>
  <c r="F601" i="54"/>
  <c r="F579" i="54"/>
  <c r="F110" i="54"/>
  <c r="F419" i="54"/>
  <c r="F418" i="54"/>
  <c r="F413" i="54"/>
  <c r="F586" i="54"/>
  <c r="F444" i="54"/>
  <c r="F421" i="54"/>
  <c r="F605" i="54"/>
  <c r="F121" i="54"/>
  <c r="F105" i="54"/>
  <c r="F258" i="54"/>
  <c r="F283" i="54"/>
  <c r="F587" i="54"/>
  <c r="F594" i="54"/>
  <c r="F599" i="54"/>
  <c r="F583" i="54"/>
  <c r="F575" i="54"/>
  <c r="F257" i="54"/>
  <c r="F447" i="54"/>
  <c r="F585" i="54"/>
  <c r="F595" i="54"/>
  <c r="F426" i="54"/>
  <c r="F573" i="54"/>
  <c r="F284" i="54"/>
  <c r="F598" i="54"/>
  <c r="F417" i="54"/>
  <c r="F278" i="54"/>
  <c r="F603" i="54"/>
  <c r="F127" i="54"/>
  <c r="F604" i="54"/>
  <c r="F436" i="54"/>
  <c r="F591" i="54"/>
  <c r="F438" i="54"/>
  <c r="F259" i="54"/>
  <c r="F273" i="54"/>
  <c r="F101" i="54"/>
  <c r="F437" i="54"/>
  <c r="F581" i="54"/>
  <c r="F285" i="54"/>
  <c r="F443" i="54"/>
  <c r="F130" i="54"/>
  <c r="F425" i="54"/>
  <c r="F119" i="54"/>
  <c r="F262" i="54"/>
  <c r="F446" i="54"/>
  <c r="F430" i="54"/>
  <c r="F429" i="54"/>
  <c r="F269" i="54"/>
  <c r="F442" i="54"/>
  <c r="F289" i="54"/>
  <c r="F593" i="54"/>
  <c r="F600" i="54"/>
  <c r="F268" i="54"/>
  <c r="F602" i="54"/>
  <c r="F287" i="54"/>
  <c r="F582" i="54"/>
  <c r="F427" i="54"/>
  <c r="F104" i="54"/>
  <c r="F102" i="54"/>
  <c r="F106" i="54"/>
  <c r="F270" i="54"/>
  <c r="F261" i="54"/>
  <c r="F113" i="54"/>
  <c r="F120" i="54"/>
  <c r="F108" i="54"/>
  <c r="F122" i="54"/>
  <c r="F118" i="54"/>
  <c r="F266" i="54"/>
  <c r="F264" i="54"/>
  <c r="F112" i="54"/>
  <c r="F100" i="54"/>
  <c r="F267" i="54"/>
  <c r="F103" i="54"/>
  <c r="F265" i="54"/>
  <c r="F107" i="54"/>
  <c r="F124" i="54"/>
  <c r="F263" i="54"/>
  <c r="F260" i="54"/>
  <c r="F116" i="54"/>
  <c r="F123" i="54"/>
  <c r="F117" i="54"/>
  <c r="Q412" i="54"/>
  <c r="G795" i="54"/>
  <c r="I10" i="54" s="1"/>
  <c r="E168" i="49" s="1"/>
  <c r="M254" i="54"/>
  <c r="F215" i="54"/>
  <c r="M570" i="54"/>
  <c r="G703" i="54"/>
  <c r="I8" i="54" s="1"/>
  <c r="E84" i="49" s="1"/>
  <c r="F574" i="54"/>
  <c r="Q254" i="54"/>
  <c r="F597" i="54"/>
  <c r="Q96" i="54"/>
  <c r="F531" i="54"/>
  <c r="F373" i="54"/>
  <c r="F277" i="54"/>
  <c r="L735" i="67"/>
  <c r="F272" i="54"/>
  <c r="L689" i="67"/>
  <c r="L827" i="67"/>
  <c r="Q570" i="54"/>
  <c r="F98" i="54"/>
  <c r="F590" i="54"/>
  <c r="M412" i="54"/>
  <c r="M96" i="54"/>
  <c r="G749" i="54"/>
  <c r="I9" i="54" s="1"/>
  <c r="E126" i="49" s="1"/>
  <c r="L781" i="67"/>
  <c r="F57" i="54"/>
  <c r="G657" i="54"/>
  <c r="I7" i="54" s="1"/>
  <c r="F412" i="54" l="1"/>
  <c r="F570" i="54"/>
  <c r="F254" i="54"/>
  <c r="F96" i="54"/>
  <c r="I6" i="54" a="1"/>
  <c r="E42" i="49"/>
  <c r="I6" i="54"/>
  <c r="E37" i="49" s="1"/>
  <c r="K368" i="67" l="1"/>
  <c r="K406" i="67" s="1"/>
  <c r="T168" i="53"/>
  <c r="U425" i="59" s="1"/>
  <c r="U581" i="59" s="1"/>
  <c r="Q76" i="53"/>
  <c r="T114" i="53" s="1"/>
  <c r="T212" i="59" s="1"/>
  <c r="T368" i="59" s="1"/>
  <c r="Q79" i="53"/>
  <c r="T117" i="53" s="1"/>
  <c r="T215" i="59" s="1"/>
  <c r="T371" i="59" s="1"/>
  <c r="L446" i="67"/>
  <c r="L484" i="67" s="1"/>
  <c r="I464" i="67"/>
  <c r="I502" i="67" s="1"/>
  <c r="G195" i="53"/>
  <c r="L523" i="67"/>
  <c r="L561" i="67" s="1"/>
  <c r="K283" i="53"/>
  <c r="V321" i="53" s="1"/>
  <c r="F700" i="59" s="1"/>
  <c r="J534" i="67"/>
  <c r="J572" i="67" s="1"/>
  <c r="H294" i="53"/>
  <c r="J332" i="53" s="1"/>
  <c r="J542" i="67"/>
  <c r="J580" i="67" s="1"/>
  <c r="H544" i="67"/>
  <c r="H582" i="67" s="1"/>
  <c r="H546" i="67"/>
  <c r="H584" i="67" s="1"/>
  <c r="K307" i="53"/>
  <c r="V345" i="53" s="1"/>
  <c r="F724" i="59" s="1"/>
  <c r="J311" i="53"/>
  <c r="R349" i="53" s="1"/>
  <c r="H313" i="53"/>
  <c r="J351" i="53" s="1"/>
  <c r="H397" i="53"/>
  <c r="J435" i="53" s="1"/>
  <c r="T404" i="53"/>
  <c r="U903" i="59" s="1"/>
  <c r="U1059" i="59" s="1"/>
  <c r="O614" i="67"/>
  <c r="O652" i="67" s="1"/>
  <c r="K616" i="67"/>
  <c r="K654" i="67" s="1"/>
  <c r="J410" i="53"/>
  <c r="R448" i="53" s="1"/>
  <c r="T411" i="53"/>
  <c r="U910" i="59" s="1"/>
  <c r="U1066" i="59" s="1"/>
  <c r="M621" i="67"/>
  <c r="M659" i="67" s="1"/>
  <c r="J418" i="53"/>
  <c r="R456" i="53" s="1"/>
  <c r="J627" i="67"/>
  <c r="J665" i="67" s="1"/>
  <c r="H420" i="53"/>
  <c r="J458" i="53" s="1"/>
  <c r="O628" i="67"/>
  <c r="O666" i="67" s="1"/>
  <c r="H629" i="67"/>
  <c r="H667" i="67" s="1"/>
  <c r="L632" i="67"/>
  <c r="L670" i="67" s="1"/>
  <c r="K425" i="53"/>
  <c r="V463" i="53" s="1"/>
  <c r="F963" i="59" s="1"/>
  <c r="T425" i="53"/>
  <c r="U924" i="59" s="1"/>
  <c r="U1080" i="59" s="1"/>
  <c r="K634" i="67"/>
  <c r="K672" i="67" s="1"/>
  <c r="I427" i="53"/>
  <c r="I636" i="67"/>
  <c r="I674" i="67" s="1"/>
  <c r="G429" i="53"/>
  <c r="N637" i="67"/>
  <c r="N675" i="67" s="1"/>
  <c r="Q430" i="53"/>
  <c r="T468" i="53" s="1"/>
  <c r="T929" i="59" s="1"/>
  <c r="T1085" i="59" s="1"/>
  <c r="N461" i="67"/>
  <c r="N499" i="67" s="1"/>
  <c r="K188" i="53"/>
  <c r="V226" i="53" s="1"/>
  <c r="F484" i="59" s="1"/>
  <c r="I470" i="67"/>
  <c r="I508" i="67" s="1"/>
  <c r="H474" i="67"/>
  <c r="H512" i="67" s="1"/>
  <c r="L524" i="67"/>
  <c r="L562" i="67" s="1"/>
  <c r="Q284" i="53"/>
  <c r="T322" i="53" s="1"/>
  <c r="T662" i="59" s="1"/>
  <c r="T818" i="59" s="1"/>
  <c r="J535" i="67"/>
  <c r="J573" i="67" s="1"/>
  <c r="K295" i="53"/>
  <c r="V333" i="53" s="1"/>
  <c r="F712" i="59" s="1"/>
  <c r="J300" i="53"/>
  <c r="R338" i="53" s="1"/>
  <c r="H302" i="53"/>
  <c r="J340" i="53" s="1"/>
  <c r="I304" i="53"/>
  <c r="G306" i="53"/>
  <c r="O607" i="67"/>
  <c r="O645" i="67" s="1"/>
  <c r="L613" i="67"/>
  <c r="L651" i="67" s="1"/>
  <c r="H615" i="67"/>
  <c r="H653" i="67" s="1"/>
  <c r="I409" i="53"/>
  <c r="K620" i="67"/>
  <c r="K658" i="67" s="1"/>
  <c r="I417" i="53"/>
  <c r="I626" i="67"/>
  <c r="I664" i="67" s="1"/>
  <c r="G419" i="53"/>
  <c r="N627" i="67"/>
  <c r="N665" i="67" s="1"/>
  <c r="Q420" i="53"/>
  <c r="T458" i="53" s="1"/>
  <c r="T919" i="59" s="1"/>
  <c r="T1075" i="59" s="1"/>
  <c r="M629" i="67"/>
  <c r="M667" i="67" s="1"/>
  <c r="J424" i="53"/>
  <c r="R462" i="53" s="1"/>
  <c r="J633" i="67"/>
  <c r="J671" i="67" s="1"/>
  <c r="H426" i="53"/>
  <c r="J464" i="53" s="1"/>
  <c r="O634" i="67"/>
  <c r="O672" i="67" s="1"/>
  <c r="H635" i="67"/>
  <c r="H673" i="67" s="1"/>
  <c r="L638" i="67"/>
  <c r="L676" i="67" s="1"/>
  <c r="N443" i="67"/>
  <c r="N481" i="67" s="1"/>
  <c r="T179" i="53"/>
  <c r="U436" i="59" s="1"/>
  <c r="U592" i="59" s="1"/>
  <c r="M472" i="67"/>
  <c r="M510" i="67" s="1"/>
  <c r="K280" i="53"/>
  <c r="V318" i="53" s="1"/>
  <c r="F697" i="59" s="1"/>
  <c r="T282" i="53"/>
  <c r="U660" i="59" s="1"/>
  <c r="U816" i="59" s="1"/>
  <c r="N528" i="67"/>
  <c r="N566" i="67" s="1"/>
  <c r="Q288" i="53"/>
  <c r="T326" i="53" s="1"/>
  <c r="T666" i="59" s="1"/>
  <c r="T822" i="59" s="1"/>
  <c r="H291" i="53"/>
  <c r="J329" i="53" s="1"/>
  <c r="L539" i="67"/>
  <c r="L577" i="67" s="1"/>
  <c r="J299" i="53"/>
  <c r="R337" i="53" s="1"/>
  <c r="J301" i="53"/>
  <c r="R339" i="53" s="1"/>
  <c r="H303" i="53"/>
  <c r="J341" i="53" s="1"/>
  <c r="G307" i="53"/>
  <c r="O606" i="67"/>
  <c r="O644" i="67" s="1"/>
  <c r="O608" i="67"/>
  <c r="O646" i="67" s="1"/>
  <c r="L612" i="67"/>
  <c r="L650" i="67" s="1"/>
  <c r="K186" i="53"/>
  <c r="V224" i="53" s="1"/>
  <c r="F482" i="59" s="1"/>
  <c r="K281" i="53"/>
  <c r="V319" i="53" s="1"/>
  <c r="F698" i="59" s="1"/>
  <c r="Q285" i="53"/>
  <c r="T323" i="53" s="1"/>
  <c r="T663" i="59" s="1"/>
  <c r="T819" i="59" s="1"/>
  <c r="K298" i="53"/>
  <c r="V336" i="53" s="1"/>
  <c r="F715" i="59" s="1"/>
  <c r="T304" i="53"/>
  <c r="U682" i="59" s="1"/>
  <c r="U838" i="59" s="1"/>
  <c r="I308" i="53"/>
  <c r="G311" i="53"/>
  <c r="H396" i="53"/>
  <c r="J434" i="53" s="1"/>
  <c r="J607" i="67"/>
  <c r="J645" i="67" s="1"/>
  <c r="H610" i="67"/>
  <c r="H648" i="67" s="1"/>
  <c r="N613" i="67"/>
  <c r="N651" i="67" s="1"/>
  <c r="H410" i="53"/>
  <c r="J448" i="53" s="1"/>
  <c r="T416" i="53"/>
  <c r="U915" i="59" s="1"/>
  <c r="U1071" i="59" s="1"/>
  <c r="I627" i="67"/>
  <c r="I665" i="67" s="1"/>
  <c r="H628" i="67"/>
  <c r="H666" i="67" s="1"/>
  <c r="K421" i="53"/>
  <c r="V459" i="53" s="1"/>
  <c r="F959" i="59" s="1"/>
  <c r="K633" i="67"/>
  <c r="K671" i="67" s="1"/>
  <c r="Q426" i="53"/>
  <c r="T464" i="53" s="1"/>
  <c r="T925" i="59" s="1"/>
  <c r="T1081" i="59" s="1"/>
  <c r="H427" i="53"/>
  <c r="J465" i="53" s="1"/>
  <c r="G428" i="53"/>
  <c r="M638" i="67"/>
  <c r="M676" i="67" s="1"/>
  <c r="K465" i="67"/>
  <c r="K503" i="67" s="1"/>
  <c r="H290" i="53"/>
  <c r="J328" i="53" s="1"/>
  <c r="K305" i="53"/>
  <c r="V343" i="53" s="1"/>
  <c r="F722" i="59" s="1"/>
  <c r="K308" i="53"/>
  <c r="V346" i="53" s="1"/>
  <c r="F725" i="59" s="1"/>
  <c r="M554" i="67"/>
  <c r="M592" i="67" s="1"/>
  <c r="T405" i="53"/>
  <c r="U904" i="59" s="1"/>
  <c r="U1060" i="59" s="1"/>
  <c r="L618" i="67"/>
  <c r="L656" i="67" s="1"/>
  <c r="O620" i="67"/>
  <c r="O658" i="67" s="1"/>
  <c r="G415" i="53"/>
  <c r="G417" i="53"/>
  <c r="T417" i="53"/>
  <c r="U916" i="59" s="1"/>
  <c r="U1072" i="59" s="1"/>
  <c r="O626" i="67"/>
  <c r="O664" i="67" s="1"/>
  <c r="M627" i="67"/>
  <c r="M665" i="67" s="1"/>
  <c r="I628" i="67"/>
  <c r="I666" i="67" s="1"/>
  <c r="J422" i="53"/>
  <c r="R460" i="53" s="1"/>
  <c r="T423" i="53"/>
  <c r="U922" i="59" s="1"/>
  <c r="U1078" i="59" s="1"/>
  <c r="O632" i="67"/>
  <c r="O670" i="67" s="1"/>
  <c r="I634" i="67"/>
  <c r="I672" i="67" s="1"/>
  <c r="H428" i="53"/>
  <c r="J466" i="53" s="1"/>
  <c r="T429" i="53"/>
  <c r="U928" i="59" s="1"/>
  <c r="U1084" i="59" s="1"/>
  <c r="Q188" i="53"/>
  <c r="T226" i="53" s="1"/>
  <c r="T445" i="59" s="1"/>
  <c r="T601" i="59" s="1"/>
  <c r="T281" i="53"/>
  <c r="U659" i="59" s="1"/>
  <c r="U815" i="59" s="1"/>
  <c r="N529" i="67"/>
  <c r="N567" i="67" s="1"/>
  <c r="H538" i="67"/>
  <c r="H576" i="67" s="1"/>
  <c r="H542" i="67"/>
  <c r="H580" i="67" s="1"/>
  <c r="H545" i="67"/>
  <c r="H583" i="67" s="1"/>
  <c r="N551" i="67"/>
  <c r="N589" i="67" s="1"/>
  <c r="I611" i="67"/>
  <c r="I649" i="67" s="1"/>
  <c r="Q406" i="53"/>
  <c r="T444" i="53" s="1"/>
  <c r="T905" i="59" s="1"/>
  <c r="T1061" i="59" s="1"/>
  <c r="Q408" i="53"/>
  <c r="T446" i="53" s="1"/>
  <c r="T907" i="59" s="1"/>
  <c r="T1063" i="59" s="1"/>
  <c r="I413" i="53"/>
  <c r="K415" i="53"/>
  <c r="V453" i="53" s="1"/>
  <c r="F953" i="59" s="1"/>
  <c r="J417" i="53"/>
  <c r="R455" i="53" s="1"/>
  <c r="O627" i="67"/>
  <c r="O665" i="67" s="1"/>
  <c r="L628" i="67"/>
  <c r="L666" i="67" s="1"/>
  <c r="Q421" i="53"/>
  <c r="T459" i="53" s="1"/>
  <c r="T920" i="59" s="1"/>
  <c r="T1076" i="59" s="1"/>
  <c r="I423" i="53"/>
  <c r="T424" i="53"/>
  <c r="U923" i="59" s="1"/>
  <c r="U1079" i="59" s="1"/>
  <c r="N633" i="67"/>
  <c r="N671" i="67" s="1"/>
  <c r="J634" i="67"/>
  <c r="J672" i="67" s="1"/>
  <c r="I635" i="67"/>
  <c r="I673" i="67" s="1"/>
  <c r="G183" i="53"/>
  <c r="I283" i="53"/>
  <c r="Q287" i="53"/>
  <c r="T325" i="53" s="1"/>
  <c r="T665" i="59" s="1"/>
  <c r="T821" i="59" s="1"/>
  <c r="H292" i="53"/>
  <c r="J330" i="53" s="1"/>
  <c r="K296" i="53"/>
  <c r="V334" i="53" s="1"/>
  <c r="F713" i="59" s="1"/>
  <c r="K303" i="53"/>
  <c r="V341" i="53" s="1"/>
  <c r="F720" i="59" s="1"/>
  <c r="N552" i="67"/>
  <c r="N590" i="67" s="1"/>
  <c r="M555" i="67"/>
  <c r="M593" i="67" s="1"/>
  <c r="T400" i="53"/>
  <c r="U899" i="59" s="1"/>
  <c r="U1055" i="59" s="1"/>
  <c r="T403" i="53"/>
  <c r="U902" i="59" s="1"/>
  <c r="U1058" i="59" s="1"/>
  <c r="K409" i="53"/>
  <c r="V447" i="53" s="1"/>
  <c r="F947" i="59" s="1"/>
  <c r="J619" i="67"/>
  <c r="J657" i="67" s="1"/>
  <c r="J621" i="67"/>
  <c r="J659" i="67" s="1"/>
  <c r="H625" i="67"/>
  <c r="H663" i="67" s="1"/>
  <c r="I418" i="53"/>
  <c r="H419" i="53"/>
  <c r="J457" i="53" s="1"/>
  <c r="N628" i="67"/>
  <c r="N666" i="67" s="1"/>
  <c r="K630" i="67"/>
  <c r="K668" i="67" s="1"/>
  <c r="K424" i="53"/>
  <c r="V462" i="53" s="1"/>
  <c r="F962" i="59" s="1"/>
  <c r="G425" i="53"/>
  <c r="M635" i="67"/>
  <c r="M673" i="67" s="1"/>
  <c r="H636" i="67"/>
  <c r="H674" i="67" s="1"/>
  <c r="Q429" i="53"/>
  <c r="T467" i="53" s="1"/>
  <c r="T928" i="59" s="1"/>
  <c r="T1084" i="59" s="1"/>
  <c r="J430" i="53"/>
  <c r="R468" i="53" s="1"/>
  <c r="H77" i="53"/>
  <c r="J115" i="53" s="1"/>
  <c r="H184" i="53"/>
  <c r="J222" i="53" s="1"/>
  <c r="K468" i="67"/>
  <c r="K506" i="67" s="1"/>
  <c r="T283" i="53"/>
  <c r="U661" i="59" s="1"/>
  <c r="U817" i="59" s="1"/>
  <c r="J543" i="67"/>
  <c r="J581" i="67" s="1"/>
  <c r="T303" i="53"/>
  <c r="U681" i="59" s="1"/>
  <c r="U837" i="59" s="1"/>
  <c r="G310" i="53"/>
  <c r="K609" i="67"/>
  <c r="K647" i="67" s="1"/>
  <c r="I612" i="67"/>
  <c r="I650" i="67" s="1"/>
  <c r="K407" i="53"/>
  <c r="V445" i="53" s="1"/>
  <c r="F945" i="59" s="1"/>
  <c r="N619" i="67"/>
  <c r="N657" i="67" s="1"/>
  <c r="J416" i="53"/>
  <c r="R454" i="53" s="1"/>
  <c r="J625" i="67"/>
  <c r="J663" i="67" s="1"/>
  <c r="Q418" i="53"/>
  <c r="T456" i="53" s="1"/>
  <c r="T917" i="59" s="1"/>
  <c r="T1073" i="59" s="1"/>
  <c r="I419" i="53"/>
  <c r="N629" i="67"/>
  <c r="N667" i="67" s="1"/>
  <c r="L630" i="67"/>
  <c r="L668" i="67" s="1"/>
  <c r="J631" i="67"/>
  <c r="J669" i="67" s="1"/>
  <c r="I425" i="53"/>
  <c r="N635" i="67"/>
  <c r="N673" i="67" s="1"/>
  <c r="L636" i="67"/>
  <c r="L674" i="67" s="1"/>
  <c r="H637" i="67"/>
  <c r="H675" i="67" s="1"/>
  <c r="T191" i="53"/>
  <c r="U448" i="59" s="1"/>
  <c r="U604" i="59" s="1"/>
  <c r="T279" i="53"/>
  <c r="U657" i="59" s="1"/>
  <c r="I527" i="67"/>
  <c r="I565" i="67" s="1"/>
  <c r="L540" i="67"/>
  <c r="L578" i="67" s="1"/>
  <c r="K304" i="53"/>
  <c r="V342" i="53" s="1"/>
  <c r="F721" i="59" s="1"/>
  <c r="I307" i="53"/>
  <c r="I310" i="53"/>
  <c r="M556" i="67"/>
  <c r="M594" i="67" s="1"/>
  <c r="T401" i="53"/>
  <c r="U900" i="59" s="1"/>
  <c r="U1056" i="59" s="1"/>
  <c r="Q414" i="53"/>
  <c r="T452" i="53" s="1"/>
  <c r="T913" i="59" s="1"/>
  <c r="T1069" i="59" s="1"/>
  <c r="L624" i="67"/>
  <c r="L662" i="67" s="1"/>
  <c r="K625" i="67"/>
  <c r="K663" i="67" s="1"/>
  <c r="J626" i="67"/>
  <c r="J664" i="67" s="1"/>
  <c r="G420" i="53"/>
  <c r="T421" i="53"/>
  <c r="U920" i="59" s="1"/>
  <c r="U1076" i="59" s="1"/>
  <c r="M630" i="67"/>
  <c r="M668" i="67" s="1"/>
  <c r="L631" i="67"/>
  <c r="L669" i="67" s="1"/>
  <c r="I632" i="67"/>
  <c r="I670" i="67" s="1"/>
  <c r="J425" i="53"/>
  <c r="R463" i="53" s="1"/>
  <c r="I426" i="53"/>
  <c r="O635" i="67"/>
  <c r="O673" i="67" s="1"/>
  <c r="N636" i="67"/>
  <c r="N674" i="67" s="1"/>
  <c r="J180" i="53"/>
  <c r="R218" i="53" s="1"/>
  <c r="T302" i="53"/>
  <c r="U680" i="59" s="1"/>
  <c r="U836" i="59" s="1"/>
  <c r="K417" i="53"/>
  <c r="V455" i="53" s="1"/>
  <c r="F955" i="59" s="1"/>
  <c r="H424" i="53"/>
  <c r="J462" i="53" s="1"/>
  <c r="J635" i="67"/>
  <c r="J673" i="67" s="1"/>
  <c r="J532" i="67"/>
  <c r="J570" i="67" s="1"/>
  <c r="N625" i="67"/>
  <c r="N663" i="67" s="1"/>
  <c r="G421" i="53"/>
  <c r="K632" i="67"/>
  <c r="K670" i="67" s="1"/>
  <c r="K466" i="67"/>
  <c r="K504" i="67" s="1"/>
  <c r="H534" i="67"/>
  <c r="H572" i="67" s="1"/>
  <c r="I306" i="53"/>
  <c r="J608" i="67"/>
  <c r="J646" i="67" s="1"/>
  <c r="G411" i="53"/>
  <c r="H418" i="53"/>
  <c r="J456" i="53" s="1"/>
  <c r="Q428" i="53"/>
  <c r="T466" i="53" s="1"/>
  <c r="T927" i="59" s="1"/>
  <c r="T1083" i="59" s="1"/>
  <c r="J196" i="53"/>
  <c r="R234" i="53" s="1"/>
  <c r="L538" i="67"/>
  <c r="L576" i="67" s="1"/>
  <c r="G309" i="53"/>
  <c r="H621" i="67"/>
  <c r="H659" i="67" s="1"/>
  <c r="Q422" i="53"/>
  <c r="T460" i="53" s="1"/>
  <c r="T921" i="59" s="1"/>
  <c r="T1077" i="59" s="1"/>
  <c r="K429" i="53"/>
  <c r="V467" i="53" s="1"/>
  <c r="F967" i="59" s="1"/>
  <c r="I298" i="53"/>
  <c r="N553" i="67"/>
  <c r="N591" i="67" s="1"/>
  <c r="Q405" i="53"/>
  <c r="T443" i="53" s="1"/>
  <c r="T904" i="59" s="1"/>
  <c r="T1060" i="59" s="1"/>
  <c r="I622" i="67"/>
  <c r="I660" i="67" s="1"/>
  <c r="H627" i="67"/>
  <c r="H665" i="67" s="1"/>
  <c r="J426" i="53"/>
  <c r="R464" i="53" s="1"/>
  <c r="M637" i="67"/>
  <c r="M675" i="67" s="1"/>
  <c r="N527" i="67"/>
  <c r="N565" i="67" s="1"/>
  <c r="L614" i="67"/>
  <c r="L652" i="67" s="1"/>
  <c r="K638" i="67"/>
  <c r="K676" i="67" s="1"/>
  <c r="J536" i="67"/>
  <c r="J574" i="67" s="1"/>
  <c r="M615" i="67"/>
  <c r="M653" i="67" s="1"/>
  <c r="K423" i="53"/>
  <c r="V461" i="53" s="1"/>
  <c r="F961" i="59" s="1"/>
  <c r="Q412" i="53"/>
  <c r="T450" i="53" s="1"/>
  <c r="T911" i="59" s="1"/>
  <c r="T1067" i="59" s="1"/>
  <c r="M631" i="67"/>
  <c r="M669" i="67" s="1"/>
  <c r="N623" i="67"/>
  <c r="N661" i="67" s="1"/>
  <c r="H633" i="67"/>
  <c r="H671" i="67" s="1"/>
  <c r="H172" i="53"/>
  <c r="J210" i="53" s="1"/>
  <c r="J312" i="53"/>
  <c r="R350" i="53" s="1"/>
  <c r="K626" i="67"/>
  <c r="K664" i="67" s="1"/>
  <c r="G427" i="53"/>
  <c r="M470" i="67"/>
  <c r="M508" i="67" s="1"/>
  <c r="O636" i="67"/>
  <c r="O674" i="67" s="1"/>
  <c r="L525" i="67"/>
  <c r="L563" i="67" s="1"/>
  <c r="I430" i="53"/>
  <c r="L635" i="67"/>
  <c r="L673" i="67" s="1"/>
  <c r="J630" i="67"/>
  <c r="J668" i="67" s="1"/>
  <c r="Q417" i="53"/>
  <c r="T455" i="53" s="1"/>
  <c r="T916" i="59" s="1"/>
  <c r="T1072" i="59" s="1"/>
  <c r="H619" i="67"/>
  <c r="H657" i="67" s="1"/>
  <c r="K404" i="53"/>
  <c r="V442" i="53" s="1"/>
  <c r="F942" i="59" s="1"/>
  <c r="J604" i="67"/>
  <c r="N549" i="67"/>
  <c r="N587" i="67" s="1"/>
  <c r="J164" i="53"/>
  <c r="R202" i="53" s="1"/>
  <c r="H430" i="53"/>
  <c r="J468" i="53" s="1"/>
  <c r="I630" i="67"/>
  <c r="I668" i="67" s="1"/>
  <c r="T419" i="53"/>
  <c r="U918" i="59" s="1"/>
  <c r="U1074" i="59" s="1"/>
  <c r="K411" i="53"/>
  <c r="V449" i="53" s="1"/>
  <c r="F949" i="59" s="1"/>
  <c r="I404" i="53"/>
  <c r="H604" i="67"/>
  <c r="K549" i="67"/>
  <c r="K587" i="67" s="1"/>
  <c r="L541" i="67"/>
  <c r="L579" i="67" s="1"/>
  <c r="N530" i="67"/>
  <c r="N568" i="67" s="1"/>
  <c r="J471" i="67"/>
  <c r="J509" i="67" s="1"/>
  <c r="O441" i="67"/>
  <c r="O479" i="67" s="1"/>
  <c r="K426" i="53"/>
  <c r="V464" i="53" s="1"/>
  <c r="F964" i="59" s="1"/>
  <c r="H421" i="53"/>
  <c r="J459" i="53" s="1"/>
  <c r="L622" i="67"/>
  <c r="L660" i="67" s="1"/>
  <c r="N615" i="67"/>
  <c r="N653" i="67" s="1"/>
  <c r="H400" i="53"/>
  <c r="J438" i="53" s="1"/>
  <c r="Q310" i="53"/>
  <c r="T348" i="53" s="1"/>
  <c r="T688" i="59" s="1"/>
  <c r="T844" i="59" s="1"/>
  <c r="J545" i="67"/>
  <c r="J583" i="67" s="1"/>
  <c r="I282" i="53"/>
  <c r="H462" i="67"/>
  <c r="H500" i="67" s="1"/>
  <c r="K180" i="53"/>
  <c r="V218" i="53" s="1"/>
  <c r="F476" i="59" s="1"/>
  <c r="J466" i="67"/>
  <c r="J504" i="67" s="1"/>
  <c r="G294" i="53"/>
  <c r="J298" i="53"/>
  <c r="R336" i="53" s="1"/>
  <c r="Q301" i="53"/>
  <c r="T339" i="53" s="1"/>
  <c r="T679" i="59" s="1"/>
  <c r="T835" i="59" s="1"/>
  <c r="J307" i="53"/>
  <c r="R345" i="53" s="1"/>
  <c r="H310" i="53"/>
  <c r="J348" i="53" s="1"/>
  <c r="N614" i="67"/>
  <c r="N652" i="67" s="1"/>
  <c r="H622" i="67"/>
  <c r="H660" i="67" s="1"/>
  <c r="M358" i="67"/>
  <c r="K175" i="53"/>
  <c r="V213" i="53" s="1"/>
  <c r="F471" i="59" s="1"/>
  <c r="Q280" i="53"/>
  <c r="T318" i="53" s="1"/>
  <c r="T658" i="59" s="1"/>
  <c r="T814" i="59" s="1"/>
  <c r="J527" i="67"/>
  <c r="J565" i="67" s="1"/>
  <c r="L531" i="67"/>
  <c r="L569" i="67" s="1"/>
  <c r="N535" i="67"/>
  <c r="N573" i="67" s="1"/>
  <c r="N632" i="67"/>
  <c r="N670" i="67" s="1"/>
  <c r="I422" i="53"/>
  <c r="L627" i="67"/>
  <c r="L665" i="67" s="1"/>
  <c r="K618" i="67"/>
  <c r="K656" i="67" s="1"/>
  <c r="J556" i="67"/>
  <c r="J594" i="67" s="1"/>
  <c r="K540" i="67"/>
  <c r="K578" i="67" s="1"/>
  <c r="I529" i="67"/>
  <c r="I567" i="67" s="1"/>
  <c r="K382" i="67"/>
  <c r="K420" i="67" s="1"/>
  <c r="K427" i="53"/>
  <c r="V465" i="53" s="1"/>
  <c r="F965" i="59" s="1"/>
  <c r="H422" i="53"/>
  <c r="J460" i="53" s="1"/>
  <c r="I618" i="67"/>
  <c r="I656" i="67" s="1"/>
  <c r="I403" i="53"/>
  <c r="Q313" i="53"/>
  <c r="T351" i="53" s="1"/>
  <c r="T691" i="59" s="1"/>
  <c r="T847" i="59" s="1"/>
  <c r="L548" i="67"/>
  <c r="L586" i="67" s="1"/>
  <c r="K297" i="53"/>
  <c r="V335" i="53" s="1"/>
  <c r="F714" i="59" s="1"/>
  <c r="Q286" i="53"/>
  <c r="T324" i="53" s="1"/>
  <c r="T664" i="59" s="1"/>
  <c r="T820" i="59" s="1"/>
  <c r="I469" i="67"/>
  <c r="I507" i="67" s="1"/>
  <c r="I63" i="53"/>
  <c r="J636" i="67"/>
  <c r="J674" i="67" s="1"/>
  <c r="Q423" i="53"/>
  <c r="T461" i="53" s="1"/>
  <c r="T922" i="59" s="1"/>
  <c r="T1078" i="59" s="1"/>
  <c r="K418" i="53"/>
  <c r="V456" i="53" s="1"/>
  <c r="F956" i="59" s="1"/>
  <c r="N621" i="67"/>
  <c r="N659" i="67" s="1"/>
  <c r="H399" i="53"/>
  <c r="J437" i="53" s="1"/>
  <c r="Q309" i="53"/>
  <c r="T347" i="53" s="1"/>
  <c r="T687" i="59" s="1"/>
  <c r="T843" i="59" s="1"/>
  <c r="L544" i="67"/>
  <c r="L582" i="67" s="1"/>
  <c r="Q181" i="53"/>
  <c r="T219" i="53" s="1"/>
  <c r="T438" i="59" s="1"/>
  <c r="T594" i="59" s="1"/>
  <c r="H182" i="53"/>
  <c r="J220" i="53" s="1"/>
  <c r="O473" i="67"/>
  <c r="O511" i="67" s="1"/>
  <c r="H529" i="67"/>
  <c r="H567" i="67" s="1"/>
  <c r="K533" i="67"/>
  <c r="K571" i="67" s="1"/>
  <c r="M537" i="67"/>
  <c r="M575" i="67" s="1"/>
  <c r="O541" i="67"/>
  <c r="O579" i="67" s="1"/>
  <c r="N544" i="67"/>
  <c r="N582" i="67" s="1"/>
  <c r="M547" i="67"/>
  <c r="M585" i="67" s="1"/>
  <c r="J553" i="67"/>
  <c r="J591" i="67" s="1"/>
  <c r="I556" i="67"/>
  <c r="I594" i="67" s="1"/>
  <c r="Q398" i="53"/>
  <c r="T436" i="53" s="1"/>
  <c r="T897" i="59" s="1"/>
  <c r="T1053" i="59" s="1"/>
  <c r="J404" i="53"/>
  <c r="R442" i="53" s="1"/>
  <c r="L617" i="67"/>
  <c r="L655" i="67" s="1"/>
  <c r="I412" i="53"/>
  <c r="N622" i="67"/>
  <c r="N660" i="67" s="1"/>
  <c r="M455" i="67"/>
  <c r="M493" i="67" s="1"/>
  <c r="L471" i="67"/>
  <c r="L509" i="67" s="1"/>
  <c r="I289" i="53"/>
  <c r="I293" i="53"/>
  <c r="K637" i="67"/>
  <c r="K675" i="67" s="1"/>
  <c r="H632" i="67"/>
  <c r="H670" i="67" s="1"/>
  <c r="K624" i="67"/>
  <c r="K662" i="67" s="1"/>
  <c r="M617" i="67"/>
  <c r="M655" i="67" s="1"/>
  <c r="I285" i="53"/>
  <c r="I467" i="67"/>
  <c r="I505" i="67" s="1"/>
  <c r="J637" i="67"/>
  <c r="J675" i="67" s="1"/>
  <c r="Q424" i="53"/>
  <c r="T462" i="53" s="1"/>
  <c r="T923" i="59" s="1"/>
  <c r="T1079" i="59" s="1"/>
  <c r="K419" i="53"/>
  <c r="V457" i="53" s="1"/>
  <c r="F957" i="59" s="1"/>
  <c r="Q416" i="53"/>
  <c r="T454" i="53" s="1"/>
  <c r="T915" i="59" s="1"/>
  <c r="T1071" i="59" s="1"/>
  <c r="K402" i="53"/>
  <c r="V440" i="53" s="1"/>
  <c r="F940" i="59" s="1"/>
  <c r="Q312" i="53"/>
  <c r="T350" i="53" s="1"/>
  <c r="T690" i="59" s="1"/>
  <c r="T846" i="59" s="1"/>
  <c r="L547" i="67"/>
  <c r="L585" i="67" s="1"/>
  <c r="K189" i="53"/>
  <c r="V227" i="53" s="1"/>
  <c r="F485" i="59" s="1"/>
  <c r="N638" i="67"/>
  <c r="N676" i="67" s="1"/>
  <c r="I428" i="53"/>
  <c r="L633" i="67"/>
  <c r="L671" i="67" s="1"/>
  <c r="J628" i="67"/>
  <c r="J666" i="67" s="1"/>
  <c r="J398" i="53"/>
  <c r="R436" i="53" s="1"/>
  <c r="Q308" i="53"/>
  <c r="T346" i="53" s="1"/>
  <c r="T686" i="59" s="1"/>
  <c r="T842" i="59" s="1"/>
  <c r="I279" i="53"/>
  <c r="N454" i="67"/>
  <c r="N492" i="67" s="1"/>
  <c r="G190" i="53"/>
  <c r="Q196" i="53"/>
  <c r="T234" i="53" s="1"/>
  <c r="T453" i="59" s="1"/>
  <c r="T609" i="59" s="1"/>
  <c r="G291" i="53"/>
  <c r="G295" i="53"/>
  <c r="I299" i="53"/>
  <c r="G302" i="53"/>
  <c r="T310" i="53"/>
  <c r="U688" i="59" s="1"/>
  <c r="U844" i="59" s="1"/>
  <c r="N606" i="67"/>
  <c r="N644" i="67" s="1"/>
  <c r="M609" i="67"/>
  <c r="M647" i="67" s="1"/>
  <c r="Q407" i="53"/>
  <c r="T445" i="53" s="1"/>
  <c r="T906" i="59" s="1"/>
  <c r="T1062" i="59" s="1"/>
  <c r="J620" i="67"/>
  <c r="J658" i="67" s="1"/>
  <c r="G179" i="53"/>
  <c r="T187" i="53"/>
  <c r="U444" i="59" s="1"/>
  <c r="U600" i="59" s="1"/>
  <c r="I472" i="67"/>
  <c r="I510" i="67" s="1"/>
  <c r="J524" i="67"/>
  <c r="J562" i="67" s="1"/>
  <c r="J528" i="67"/>
  <c r="J566" i="67" s="1"/>
  <c r="L532" i="67"/>
  <c r="L570" i="67" s="1"/>
  <c r="N536" i="67"/>
  <c r="N574" i="67" s="1"/>
  <c r="J429" i="53"/>
  <c r="R467" i="53" s="1"/>
  <c r="M634" i="67"/>
  <c r="M672" i="67" s="1"/>
  <c r="G424" i="53"/>
  <c r="K629" i="67"/>
  <c r="K667" i="67" s="1"/>
  <c r="M623" i="67"/>
  <c r="M661" i="67" s="1"/>
  <c r="O546" i="67"/>
  <c r="O584" i="67" s="1"/>
  <c r="I429" i="53"/>
  <c r="L634" i="67"/>
  <c r="L672" i="67" s="1"/>
  <c r="J629" i="67"/>
  <c r="J667" i="67" s="1"/>
  <c r="K401" i="53"/>
  <c r="V439" i="53" s="1"/>
  <c r="F939" i="59" s="1"/>
  <c r="I554" i="67"/>
  <c r="I592" i="67" s="1"/>
  <c r="L546" i="67"/>
  <c r="L584" i="67" s="1"/>
  <c r="L537" i="67"/>
  <c r="L575" i="67" s="1"/>
  <c r="N526" i="67"/>
  <c r="N564" i="67" s="1"/>
  <c r="H638" i="67"/>
  <c r="H676" i="67" s="1"/>
  <c r="N630" i="67"/>
  <c r="N668" i="67" s="1"/>
  <c r="I420" i="53"/>
  <c r="L625" i="67"/>
  <c r="L663" i="67" s="1"/>
  <c r="J397" i="53"/>
  <c r="R435" i="53" s="1"/>
  <c r="I550" i="67"/>
  <c r="I588" i="67" s="1"/>
  <c r="I473" i="67"/>
  <c r="I511" i="67" s="1"/>
  <c r="T169" i="53"/>
  <c r="U426" i="59" s="1"/>
  <c r="U582" i="59" s="1"/>
  <c r="Q184" i="53"/>
  <c r="T222" i="53" s="1"/>
  <c r="T441" i="59" s="1"/>
  <c r="T597" i="59" s="1"/>
  <c r="H279" i="53"/>
  <c r="J317" i="53" s="1"/>
  <c r="H526" i="67"/>
  <c r="H564" i="67" s="1"/>
  <c r="H530" i="67"/>
  <c r="H568" i="67" s="1"/>
  <c r="K534" i="67"/>
  <c r="K572" i="67" s="1"/>
  <c r="M538" i="67"/>
  <c r="M576" i="67" s="1"/>
  <c r="K542" i="67"/>
  <c r="K580" i="67" s="1"/>
  <c r="I545" i="67"/>
  <c r="I583" i="67" s="1"/>
  <c r="Q305" i="53"/>
  <c r="T343" i="53" s="1"/>
  <c r="T683" i="59" s="1"/>
  <c r="T839" i="59" s="1"/>
  <c r="K311" i="53"/>
  <c r="V349" i="53" s="1"/>
  <c r="F728" i="59" s="1"/>
  <c r="I396" i="53"/>
  <c r="G399" i="53"/>
  <c r="K410" i="53"/>
  <c r="V448" i="53" s="1"/>
  <c r="F948" i="59" s="1"/>
  <c r="Q415" i="53"/>
  <c r="T453" i="53" s="1"/>
  <c r="T914" i="59" s="1"/>
  <c r="T1070" i="59" s="1"/>
  <c r="T180" i="53"/>
  <c r="U437" i="59" s="1"/>
  <c r="U593" i="59" s="1"/>
  <c r="H195" i="53"/>
  <c r="J233" i="53" s="1"/>
  <c r="I290" i="53"/>
  <c r="T428" i="53"/>
  <c r="U927" i="59" s="1"/>
  <c r="U1083" i="59" s="1"/>
  <c r="O631" i="67"/>
  <c r="O669" i="67" s="1"/>
  <c r="J421" i="53"/>
  <c r="R459" i="53" s="1"/>
  <c r="M626" i="67"/>
  <c r="M664" i="67" s="1"/>
  <c r="O622" i="67"/>
  <c r="O660" i="67" s="1"/>
  <c r="H608" i="67"/>
  <c r="H646" i="67" s="1"/>
  <c r="O545" i="67"/>
  <c r="O583" i="67" s="1"/>
  <c r="H536" i="67"/>
  <c r="H574" i="67" s="1"/>
  <c r="I525" i="67"/>
  <c r="I563" i="67" s="1"/>
  <c r="I185" i="53"/>
  <c r="N631" i="67"/>
  <c r="N669" i="67" s="1"/>
  <c r="I421" i="53"/>
  <c r="L626" i="67"/>
  <c r="L664" i="67" s="1"/>
  <c r="T407" i="53"/>
  <c r="U906" i="59" s="1"/>
  <c r="U1062" i="59" s="1"/>
  <c r="K400" i="53"/>
  <c r="V438" i="53" s="1"/>
  <c r="F938" i="59" s="1"/>
  <c r="I553" i="67"/>
  <c r="I591" i="67" s="1"/>
  <c r="H293" i="53"/>
  <c r="J331" i="53" s="1"/>
  <c r="K282" i="53"/>
  <c r="V320" i="53" s="1"/>
  <c r="F699" i="59" s="1"/>
  <c r="G430" i="53"/>
  <c r="K635" i="67"/>
  <c r="K673" i="67" s="1"/>
  <c r="H630" i="67"/>
  <c r="H668" i="67" s="1"/>
  <c r="I411" i="53"/>
  <c r="G404" i="53"/>
  <c r="J396" i="53"/>
  <c r="R434" i="53" s="1"/>
  <c r="I549" i="67"/>
  <c r="I587" i="67" s="1"/>
  <c r="K541" i="67"/>
  <c r="K579" i="67" s="1"/>
  <c r="Q193" i="53"/>
  <c r="T231" i="53" s="1"/>
  <c r="T450" i="59" s="1"/>
  <c r="T606" i="59" s="1"/>
  <c r="I163" i="53"/>
  <c r="G292" i="53"/>
  <c r="J296" i="53"/>
  <c r="R334" i="53" s="1"/>
  <c r="T299" i="53"/>
  <c r="U677" i="59" s="1"/>
  <c r="U833" i="59" s="1"/>
  <c r="O548" i="67"/>
  <c r="O586" i="67" s="1"/>
  <c r="L554" i="67"/>
  <c r="L592" i="67" s="1"/>
  <c r="K604" i="67"/>
  <c r="I607" i="67"/>
  <c r="I645" i="67" s="1"/>
  <c r="Q402" i="53"/>
  <c r="T440" i="53" s="1"/>
  <c r="T901" i="59" s="1"/>
  <c r="T1057" i="59" s="1"/>
  <c r="H413" i="53"/>
  <c r="J451" i="53" s="1"/>
  <c r="J467" i="67"/>
  <c r="J505" i="67" s="1"/>
  <c r="T195" i="53"/>
  <c r="U452" i="59" s="1"/>
  <c r="U608" i="59" s="1"/>
  <c r="J525" i="67"/>
  <c r="J563" i="67" s="1"/>
  <c r="L529" i="67"/>
  <c r="L567" i="67" s="1"/>
  <c r="L533" i="67"/>
  <c r="L571" i="67" s="1"/>
  <c r="N537" i="67"/>
  <c r="N575" i="67" s="1"/>
  <c r="I631" i="67"/>
  <c r="I669" i="67" s="1"/>
  <c r="T420" i="53"/>
  <c r="U919" i="59" s="1"/>
  <c r="U1075" i="59" s="1"/>
  <c r="G407" i="53"/>
  <c r="H607" i="67"/>
  <c r="H645" i="67" s="1"/>
  <c r="M552" i="67"/>
  <c r="M590" i="67" s="1"/>
  <c r="O544" i="67"/>
  <c r="O582" i="67" s="1"/>
  <c r="I281" i="53"/>
  <c r="I182" i="53"/>
  <c r="K636" i="67"/>
  <c r="K674" i="67" s="1"/>
  <c r="H631" i="67"/>
  <c r="H669" i="67" s="1"/>
  <c r="I552" i="67"/>
  <c r="I590" i="67" s="1"/>
  <c r="T280" i="53"/>
  <c r="U658" i="59" s="1"/>
  <c r="U814" i="59" s="1"/>
  <c r="O637" i="67"/>
  <c r="O675" i="67" s="1"/>
  <c r="J427" i="53"/>
  <c r="R465" i="53" s="1"/>
  <c r="M632" i="67"/>
  <c r="M670" i="67" s="1"/>
  <c r="G422" i="53"/>
  <c r="K627" i="67"/>
  <c r="K665" i="67" s="1"/>
  <c r="I548" i="67"/>
  <c r="I586" i="67" s="1"/>
  <c r="I297" i="53"/>
  <c r="H45" i="53"/>
  <c r="J83" i="53" s="1"/>
  <c r="K470" i="67"/>
  <c r="K508" i="67" s="1"/>
  <c r="H527" i="67"/>
  <c r="H565" i="67" s="1"/>
  <c r="K531" i="67"/>
  <c r="K569" i="67" s="1"/>
  <c r="K535" i="67"/>
  <c r="K573" i="67" s="1"/>
  <c r="M539" i="67"/>
  <c r="M577" i="67" s="1"/>
  <c r="K300" i="53"/>
  <c r="V338" i="53" s="1"/>
  <c r="F717" i="59" s="1"/>
  <c r="J303" i="53"/>
  <c r="R341" i="53" s="1"/>
  <c r="H306" i="53"/>
  <c r="J344" i="53" s="1"/>
  <c r="T396" i="53"/>
  <c r="U895" i="59" s="1"/>
  <c r="N610" i="67"/>
  <c r="N648" i="67" s="1"/>
  <c r="T410" i="53"/>
  <c r="U909" i="59" s="1"/>
  <c r="U1065" i="59" s="1"/>
  <c r="I621" i="67"/>
  <c r="I659" i="67" s="1"/>
  <c r="O461" i="67"/>
  <c r="O499" i="67" s="1"/>
  <c r="H468" i="67"/>
  <c r="H506" i="67" s="1"/>
  <c r="L474" i="67"/>
  <c r="L512" i="67" s="1"/>
  <c r="I291" i="53"/>
  <c r="K428" i="53"/>
  <c r="V466" i="53" s="1"/>
  <c r="F966" i="59" s="1"/>
  <c r="H423" i="53"/>
  <c r="J461" i="53" s="1"/>
  <c r="G413" i="53"/>
  <c r="K406" i="53"/>
  <c r="V444" i="53" s="1"/>
  <c r="F944" i="59" s="1"/>
  <c r="H606" i="67"/>
  <c r="H644" i="67" s="1"/>
  <c r="M551" i="67"/>
  <c r="M589" i="67" s="1"/>
  <c r="M522" i="67"/>
  <c r="I178" i="53"/>
  <c r="O638" i="67"/>
  <c r="O676" i="67" s="1"/>
  <c r="J428" i="53"/>
  <c r="R466" i="53" s="1"/>
  <c r="M633" i="67"/>
  <c r="M671" i="67" s="1"/>
  <c r="G423" i="53"/>
  <c r="K628" i="67"/>
  <c r="K666" i="67" s="1"/>
  <c r="G406" i="53"/>
  <c r="K551" i="67"/>
  <c r="K589" i="67" s="1"/>
  <c r="J533" i="67"/>
  <c r="J571" i="67" s="1"/>
  <c r="K522" i="67"/>
  <c r="I637" i="67"/>
  <c r="I675" i="67" s="1"/>
  <c r="T426" i="53"/>
  <c r="U925" i="59" s="1"/>
  <c r="U1081" i="59" s="1"/>
  <c r="O629" i="67"/>
  <c r="O667" i="67" s="1"/>
  <c r="J419" i="53"/>
  <c r="R457" i="53" s="1"/>
  <c r="J617" i="67"/>
  <c r="J655" i="67" s="1"/>
  <c r="K547" i="67"/>
  <c r="K585" i="67" s="1"/>
  <c r="O454" i="67"/>
  <c r="O492" i="67" s="1"/>
  <c r="T186" i="53"/>
  <c r="U443" i="59" s="1"/>
  <c r="U599" i="59" s="1"/>
  <c r="H471" i="67"/>
  <c r="H509" i="67" s="1"/>
  <c r="G293" i="53"/>
  <c r="J297" i="53"/>
  <c r="R335" i="53" s="1"/>
  <c r="M543" i="67"/>
  <c r="M581" i="67" s="1"/>
  <c r="J549" i="67"/>
  <c r="J587" i="67" s="1"/>
  <c r="H552" i="67"/>
  <c r="H590" i="67" s="1"/>
  <c r="K397" i="53"/>
  <c r="V435" i="53" s="1"/>
  <c r="F935" i="59" s="1"/>
  <c r="I400" i="53"/>
  <c r="H403" i="53"/>
  <c r="J441" i="53" s="1"/>
  <c r="M616" i="67"/>
  <c r="M654" i="67" s="1"/>
  <c r="J411" i="53"/>
  <c r="R449" i="53" s="1"/>
  <c r="O621" i="67"/>
  <c r="O659" i="67" s="1"/>
  <c r="H170" i="53"/>
  <c r="J208" i="53" s="1"/>
  <c r="G191" i="53"/>
  <c r="J279" i="53"/>
  <c r="R317" i="53" s="1"/>
  <c r="J526" i="67"/>
  <c r="J564" i="67" s="1"/>
  <c r="L530" i="67"/>
  <c r="L568" i="67" s="1"/>
  <c r="N534" i="67"/>
  <c r="N572" i="67" s="1"/>
  <c r="J638" i="67"/>
  <c r="J676" i="67" s="1"/>
  <c r="Q425" i="53"/>
  <c r="T463" i="53" s="1"/>
  <c r="T924" i="59" s="1"/>
  <c r="T1080" i="59" s="1"/>
  <c r="K420" i="53"/>
  <c r="V458" i="53" s="1"/>
  <c r="F958" i="59" s="1"/>
  <c r="J412" i="53"/>
  <c r="R450" i="53" s="1"/>
  <c r="K405" i="53"/>
  <c r="V443" i="53" s="1"/>
  <c r="F943" i="59" s="1"/>
  <c r="J605" i="67"/>
  <c r="J643" i="67" s="1"/>
  <c r="L550" i="67"/>
  <c r="L588" i="67" s="1"/>
  <c r="T171" i="53"/>
  <c r="U428" i="59" s="1"/>
  <c r="U584" i="59" s="1"/>
  <c r="I638" i="67"/>
  <c r="I676" i="67" s="1"/>
  <c r="T427" i="53"/>
  <c r="U926" i="59" s="1"/>
  <c r="U1082" i="59" s="1"/>
  <c r="O630" i="67"/>
  <c r="O668" i="67" s="1"/>
  <c r="J420" i="53"/>
  <c r="R458" i="53" s="1"/>
  <c r="M625" i="67"/>
  <c r="M663" i="67" s="1"/>
  <c r="H412" i="53"/>
  <c r="J450" i="53" s="1"/>
  <c r="I405" i="53"/>
  <c r="K550" i="67"/>
  <c r="K588" i="67" s="1"/>
  <c r="O542" i="67"/>
  <c r="O580" i="67" s="1"/>
  <c r="H429" i="53"/>
  <c r="J467" i="53" s="1"/>
  <c r="I629" i="67"/>
  <c r="I667" i="67" s="1"/>
  <c r="T418" i="53"/>
  <c r="U917" i="59" s="1"/>
  <c r="U1073" i="59" s="1"/>
  <c r="H623" i="67"/>
  <c r="H661" i="67" s="1"/>
  <c r="L616" i="67"/>
  <c r="L654" i="67" s="1"/>
  <c r="H401" i="53"/>
  <c r="J439" i="53" s="1"/>
  <c r="K546" i="67"/>
  <c r="K584" i="67" s="1"/>
  <c r="H537" i="67"/>
  <c r="H575" i="67" s="1"/>
  <c r="I526" i="67"/>
  <c r="I564" i="67" s="1"/>
  <c r="O464" i="67"/>
  <c r="O502" i="67" s="1"/>
  <c r="K385" i="67"/>
  <c r="K423" i="67" s="1"/>
  <c r="N465" i="67"/>
  <c r="N503" i="67" s="1"/>
  <c r="H194" i="53"/>
  <c r="J232" i="53" s="1"/>
  <c r="H528" i="67"/>
  <c r="H566" i="67" s="1"/>
  <c r="K532" i="67"/>
  <c r="K570" i="67" s="1"/>
  <c r="M536" i="67"/>
  <c r="M574" i="67" s="1"/>
  <c r="M540" i="67"/>
  <c r="M578" i="67" s="1"/>
  <c r="O552" i="67"/>
  <c r="O590" i="67" s="1"/>
  <c r="L605" i="67"/>
  <c r="L643" i="67" s="1"/>
  <c r="J611" i="67"/>
  <c r="J649" i="67" s="1"/>
  <c r="H614" i="67"/>
  <c r="H652" i="67" s="1"/>
  <c r="K619" i="67"/>
  <c r="K657" i="67" s="1"/>
  <c r="G414" i="53"/>
  <c r="M624" i="67"/>
  <c r="M662" i="67" s="1"/>
  <c r="H450" i="67"/>
  <c r="H488" i="67" s="1"/>
  <c r="Q185" i="53"/>
  <c r="T223" i="53" s="1"/>
  <c r="T442" i="59" s="1"/>
  <c r="T598" i="59" s="1"/>
  <c r="I292" i="53"/>
  <c r="L542" i="67"/>
  <c r="L580" i="67" s="1"/>
  <c r="J548" i="67"/>
  <c r="J586" i="67" s="1"/>
  <c r="H551" i="67"/>
  <c r="H589" i="67" s="1"/>
  <c r="K396" i="53"/>
  <c r="V434" i="53" s="1"/>
  <c r="F934" i="59" s="1"/>
  <c r="I399" i="53"/>
  <c r="G402" i="53"/>
  <c r="O615" i="67"/>
  <c r="O653" i="67" s="1"/>
  <c r="T412" i="53"/>
  <c r="U911" i="59" s="1"/>
  <c r="U1067" i="59" s="1"/>
  <c r="I623" i="67"/>
  <c r="I661" i="67" s="1"/>
  <c r="T79" i="53"/>
  <c r="U215" i="59" s="1"/>
  <c r="U371" i="59" s="1"/>
  <c r="G286" i="53"/>
  <c r="J290" i="53"/>
  <c r="R328" i="53" s="1"/>
  <c r="I541" i="67"/>
  <c r="I579" i="67" s="1"/>
  <c r="J544" i="67"/>
  <c r="J582" i="67" s="1"/>
  <c r="H547" i="67"/>
  <c r="H585" i="67" s="1"/>
  <c r="Q307" i="53"/>
  <c r="T345" i="53" s="1"/>
  <c r="T685" i="59" s="1"/>
  <c r="T841" i="59" s="1"/>
  <c r="J313" i="53"/>
  <c r="R351" i="53" s="1"/>
  <c r="H398" i="53"/>
  <c r="J436" i="53" s="1"/>
  <c r="H617" i="67"/>
  <c r="H655" i="67" s="1"/>
  <c r="K622" i="67"/>
  <c r="K660" i="67" s="1"/>
  <c r="N453" i="67"/>
  <c r="N491" i="67" s="1"/>
  <c r="Q186" i="53"/>
  <c r="T224" i="53" s="1"/>
  <c r="T443" i="59" s="1"/>
  <c r="T599" i="59" s="1"/>
  <c r="I543" i="67"/>
  <c r="I581" i="67" s="1"/>
  <c r="Q303" i="53"/>
  <c r="T341" i="53" s="1"/>
  <c r="T681" i="59" s="1"/>
  <c r="T837" i="59" s="1"/>
  <c r="J309" i="53"/>
  <c r="R347" i="53" s="1"/>
  <c r="I312" i="53"/>
  <c r="G397" i="53"/>
  <c r="J616" i="67"/>
  <c r="J654" i="67" s="1"/>
  <c r="L621" i="67"/>
  <c r="L659" i="67" s="1"/>
  <c r="I416" i="53"/>
  <c r="J184" i="53"/>
  <c r="R222" i="53" s="1"/>
  <c r="J283" i="53"/>
  <c r="R321" i="53" s="1"/>
  <c r="I534" i="67"/>
  <c r="I572" i="67" s="1"/>
  <c r="I542" i="67"/>
  <c r="I580" i="67" s="1"/>
  <c r="Q302" i="53"/>
  <c r="T340" i="53" s="1"/>
  <c r="T680" i="59" s="1"/>
  <c r="T836" i="59" s="1"/>
  <c r="J308" i="53"/>
  <c r="R346" i="53" s="1"/>
  <c r="H311" i="53"/>
  <c r="J349" i="53" s="1"/>
  <c r="G396" i="53"/>
  <c r="L615" i="67"/>
  <c r="L653" i="67" s="1"/>
  <c r="I410" i="53"/>
  <c r="N620" i="67"/>
  <c r="N658" i="67" s="1"/>
  <c r="N634" i="67"/>
  <c r="N672" i="67" s="1"/>
  <c r="I424" i="53"/>
  <c r="L629" i="67"/>
  <c r="L667" i="67" s="1"/>
  <c r="T415" i="53"/>
  <c r="U914" i="59" s="1"/>
  <c r="U1070" i="59" s="1"/>
  <c r="L609" i="67"/>
  <c r="L647" i="67" s="1"/>
  <c r="I284" i="53"/>
  <c r="Q300" i="53"/>
  <c r="T338" i="53" s="1"/>
  <c r="T678" i="59" s="1"/>
  <c r="T834" i="59" s="1"/>
  <c r="J306" i="53"/>
  <c r="R344" i="53" s="1"/>
  <c r="H309" i="53"/>
  <c r="J347" i="53" s="1"/>
  <c r="O613" i="67"/>
  <c r="O651" i="67" s="1"/>
  <c r="H616" i="67"/>
  <c r="H654" i="67" s="1"/>
  <c r="K621" i="67"/>
  <c r="K659" i="67" s="1"/>
  <c r="G416" i="53"/>
  <c r="L445" i="67"/>
  <c r="L483" i="67" s="1"/>
  <c r="I468" i="67"/>
  <c r="I506" i="67" s="1"/>
  <c r="G283" i="53"/>
  <c r="G287" i="53"/>
  <c r="J291" i="53"/>
  <c r="R329" i="53" s="1"/>
  <c r="K302" i="53"/>
  <c r="V340" i="53" s="1"/>
  <c r="F719" i="59" s="1"/>
  <c r="I305" i="53"/>
  <c r="G308" i="53"/>
  <c r="O609" i="67"/>
  <c r="O647" i="67" s="1"/>
  <c r="N612" i="67"/>
  <c r="N650" i="67" s="1"/>
  <c r="J615" i="67"/>
  <c r="J653" i="67" s="1"/>
  <c r="L620" i="67"/>
  <c r="L658" i="67" s="1"/>
  <c r="I415" i="53"/>
  <c r="N457" i="67"/>
  <c r="N495" i="67" s="1"/>
  <c r="L472" i="67"/>
  <c r="L510" i="67" s="1"/>
  <c r="I301" i="53"/>
  <c r="G304" i="53"/>
  <c r="T312" i="53"/>
  <c r="U690" i="59" s="1"/>
  <c r="U846" i="59" s="1"/>
  <c r="N608" i="67"/>
  <c r="N646" i="67" s="1"/>
  <c r="M611" i="67"/>
  <c r="M649" i="67" s="1"/>
  <c r="H409" i="53"/>
  <c r="J447" i="53" s="1"/>
  <c r="K414" i="53"/>
  <c r="V452" i="53" s="1"/>
  <c r="F952" i="59" s="1"/>
  <c r="H470" i="67"/>
  <c r="H508" i="67" s="1"/>
  <c r="J280" i="53"/>
  <c r="R318" i="53" s="1"/>
  <c r="J284" i="53"/>
  <c r="R322" i="53" s="1"/>
  <c r="I535" i="67"/>
  <c r="I573" i="67" s="1"/>
  <c r="I300" i="53"/>
  <c r="G303" i="53"/>
  <c r="T311" i="53"/>
  <c r="U689" i="59" s="1"/>
  <c r="U845" i="59" s="1"/>
  <c r="N607" i="67"/>
  <c r="N645" i="67" s="1"/>
  <c r="M610" i="67"/>
  <c r="M648" i="67" s="1"/>
  <c r="K408" i="53"/>
  <c r="V446" i="53" s="1"/>
  <c r="F946" i="59" s="1"/>
  <c r="Q413" i="53"/>
  <c r="T451" i="53" s="1"/>
  <c r="T912" i="59" s="1"/>
  <c r="T1068" i="59" s="1"/>
  <c r="M636" i="67"/>
  <c r="M674" i="67" s="1"/>
  <c r="G426" i="53"/>
  <c r="K631" i="67"/>
  <c r="K669" i="67" s="1"/>
  <c r="H626" i="67"/>
  <c r="H664" i="67" s="1"/>
  <c r="H414" i="53"/>
  <c r="J452" i="53" s="1"/>
  <c r="H535" i="67"/>
  <c r="H573" i="67" s="1"/>
  <c r="H461" i="67"/>
  <c r="H499" i="67" s="1"/>
  <c r="N543" i="67"/>
  <c r="N581" i="67" s="1"/>
  <c r="M546" i="67"/>
  <c r="M584" i="67" s="1"/>
  <c r="J552" i="67"/>
  <c r="J590" i="67" s="1"/>
  <c r="H555" i="67"/>
  <c r="H593" i="67" s="1"/>
  <c r="Q397" i="53"/>
  <c r="T435" i="53" s="1"/>
  <c r="T896" i="59" s="1"/>
  <c r="T1052" i="59" s="1"/>
  <c r="J403" i="53"/>
  <c r="R441" i="53" s="1"/>
  <c r="H406" i="53"/>
  <c r="J444" i="53" s="1"/>
  <c r="N616" i="67"/>
  <c r="N654" i="67" s="1"/>
  <c r="H624" i="67"/>
  <c r="H662" i="67" s="1"/>
  <c r="N462" i="67"/>
  <c r="N500" i="67" s="1"/>
  <c r="Q191" i="53"/>
  <c r="T229" i="53" s="1"/>
  <c r="T448" i="59" s="1"/>
  <c r="T604" i="59" s="1"/>
  <c r="K279" i="53"/>
  <c r="V317" i="53" s="1"/>
  <c r="F696" i="59" s="1"/>
  <c r="K526" i="67"/>
  <c r="K564" i="67" s="1"/>
  <c r="M530" i="67"/>
  <c r="M568" i="67" s="1"/>
  <c r="O534" i="67"/>
  <c r="O572" i="67" s="1"/>
  <c r="T295" i="53"/>
  <c r="U673" i="59" s="1"/>
  <c r="U829" i="59" s="1"/>
  <c r="L545" i="67"/>
  <c r="L583" i="67" s="1"/>
  <c r="K548" i="67"/>
  <c r="K586" i="67" s="1"/>
  <c r="I551" i="67"/>
  <c r="I589" i="67" s="1"/>
  <c r="Q311" i="53"/>
  <c r="T349" i="53" s="1"/>
  <c r="T689" i="59" s="1"/>
  <c r="T845" i="59" s="1"/>
  <c r="J399" i="53"/>
  <c r="R437" i="53" s="1"/>
  <c r="I402" i="53"/>
  <c r="G405" i="53"/>
  <c r="Q410" i="53"/>
  <c r="T448" i="53" s="1"/>
  <c r="T909" i="59" s="1"/>
  <c r="T1065" i="59" s="1"/>
  <c r="J623" i="67"/>
  <c r="J661" i="67" s="1"/>
  <c r="I162" i="53"/>
  <c r="I181" i="53"/>
  <c r="T188" i="53"/>
  <c r="U445" i="59" s="1"/>
  <c r="U601" i="59" s="1"/>
  <c r="H473" i="67"/>
  <c r="H511" i="67" s="1"/>
  <c r="H282" i="53"/>
  <c r="J320" i="53" s="1"/>
  <c r="H286" i="53"/>
  <c r="J324" i="53" s="1"/>
  <c r="K290" i="53"/>
  <c r="V328" i="53" s="1"/>
  <c r="F707" i="59" s="1"/>
  <c r="Q294" i="53"/>
  <c r="T332" i="53" s="1"/>
  <c r="T672" i="59" s="1"/>
  <c r="T828" i="59" s="1"/>
  <c r="J541" i="67"/>
  <c r="J579" i="67" s="1"/>
  <c r="K544" i="67"/>
  <c r="K582" i="67" s="1"/>
  <c r="J547" i="67"/>
  <c r="J585" i="67" s="1"/>
  <c r="H550" i="67"/>
  <c r="H588" i="67" s="1"/>
  <c r="K313" i="53"/>
  <c r="V351" i="53" s="1"/>
  <c r="F730" i="59" s="1"/>
  <c r="I398" i="53"/>
  <c r="G401" i="53"/>
  <c r="T406" i="53"/>
  <c r="U905" i="59" s="1"/>
  <c r="U1061" i="59" s="1"/>
  <c r="I617" i="67"/>
  <c r="I655" i="67" s="1"/>
  <c r="I369" i="67"/>
  <c r="I407" i="67" s="1"/>
  <c r="G193" i="53"/>
  <c r="M523" i="67"/>
  <c r="M561" i="67" s="1"/>
  <c r="O527" i="67"/>
  <c r="O565" i="67" s="1"/>
  <c r="T288" i="53"/>
  <c r="U666" i="59" s="1"/>
  <c r="U822" i="59" s="1"/>
  <c r="K543" i="67"/>
  <c r="K581" i="67" s="1"/>
  <c r="I546" i="67"/>
  <c r="I584" i="67" s="1"/>
  <c r="H549" i="67"/>
  <c r="H587" i="67" s="1"/>
  <c r="K312" i="53"/>
  <c r="V350" i="53" s="1"/>
  <c r="F729" i="59" s="1"/>
  <c r="I397" i="53"/>
  <c r="G400" i="53"/>
  <c r="H411" i="53"/>
  <c r="J449" i="53" s="1"/>
  <c r="K416" i="53"/>
  <c r="V454" i="53" s="1"/>
  <c r="F954" i="59" s="1"/>
  <c r="T430" i="53"/>
  <c r="U929" i="59" s="1"/>
  <c r="U1085" i="59" s="1"/>
  <c r="O633" i="67"/>
  <c r="O671" i="67" s="1"/>
  <c r="J423" i="53"/>
  <c r="R461" i="53" s="1"/>
  <c r="M628" i="67"/>
  <c r="M666" i="67" s="1"/>
  <c r="G418" i="53"/>
  <c r="I614" i="67"/>
  <c r="I652" i="67" s="1"/>
  <c r="T308" i="53"/>
  <c r="U686" i="59" s="1"/>
  <c r="U842" i="59" s="1"/>
  <c r="G301" i="53"/>
  <c r="N605" i="67"/>
  <c r="N643" i="67" s="1"/>
  <c r="M608" i="67"/>
  <c r="M646" i="67" s="1"/>
  <c r="J614" i="67"/>
  <c r="J652" i="67" s="1"/>
  <c r="L619" i="67"/>
  <c r="L657" i="67" s="1"/>
  <c r="I414" i="53"/>
  <c r="N624" i="67"/>
  <c r="N662" i="67" s="1"/>
  <c r="I173" i="53"/>
  <c r="H463" i="67"/>
  <c r="H501" i="67" s="1"/>
  <c r="G284" i="53"/>
  <c r="J288" i="53"/>
  <c r="R326" i="53" s="1"/>
  <c r="J292" i="53"/>
  <c r="R330" i="53" s="1"/>
  <c r="T305" i="53"/>
  <c r="U683" i="59" s="1"/>
  <c r="U839" i="59" s="1"/>
  <c r="N554" i="67"/>
  <c r="N592" i="67" s="1"/>
  <c r="M604" i="67"/>
  <c r="L607" i="67"/>
  <c r="L645" i="67" s="1"/>
  <c r="K610" i="67"/>
  <c r="K648" i="67" s="1"/>
  <c r="I613" i="67"/>
  <c r="I651" i="67" s="1"/>
  <c r="H408" i="53"/>
  <c r="J446" i="53" s="1"/>
  <c r="K413" i="53"/>
  <c r="V451" i="53" s="1"/>
  <c r="F951" i="59" s="1"/>
  <c r="K443" i="67"/>
  <c r="K481" i="67" s="1"/>
  <c r="O550" i="67"/>
  <c r="O588" i="67" s="1"/>
  <c r="L556" i="67"/>
  <c r="L594" i="67" s="1"/>
  <c r="K606" i="67"/>
  <c r="K644" i="67" s="1"/>
  <c r="I609" i="67"/>
  <c r="I647" i="67" s="1"/>
  <c r="H612" i="67"/>
  <c r="H650" i="67" s="1"/>
  <c r="J407" i="53"/>
  <c r="R445" i="53" s="1"/>
  <c r="O617" i="67"/>
  <c r="O655" i="67" s="1"/>
  <c r="T414" i="53"/>
  <c r="U913" i="59" s="1"/>
  <c r="U1069" i="59" s="1"/>
  <c r="T69" i="53"/>
  <c r="U205" i="59" s="1"/>
  <c r="U361" i="59" s="1"/>
  <c r="H465" i="67"/>
  <c r="H503" i="67" s="1"/>
  <c r="J281" i="53"/>
  <c r="R319" i="53" s="1"/>
  <c r="I536" i="67"/>
  <c r="I574" i="67" s="1"/>
  <c r="T300" i="53"/>
  <c r="U678" i="59" s="1"/>
  <c r="U834" i="59" s="1"/>
  <c r="O549" i="67"/>
  <c r="O587" i="67" s="1"/>
  <c r="L555" i="67"/>
  <c r="L593" i="67" s="1"/>
  <c r="K605" i="67"/>
  <c r="K643" i="67" s="1"/>
  <c r="I608" i="67"/>
  <c r="I646" i="67" s="1"/>
  <c r="Q403" i="53"/>
  <c r="T441" i="53" s="1"/>
  <c r="T902" i="59" s="1"/>
  <c r="T1058" i="59" s="1"/>
  <c r="T408" i="53"/>
  <c r="U907" i="59" s="1"/>
  <c r="U1063" i="59" s="1"/>
  <c r="I619" i="67"/>
  <c r="I657" i="67" s="1"/>
  <c r="I633" i="67"/>
  <c r="I671" i="67" s="1"/>
  <c r="T422" i="53"/>
  <c r="U921" i="59" s="1"/>
  <c r="U1077" i="59" s="1"/>
  <c r="O625" i="67"/>
  <c r="O663" i="67" s="1"/>
  <c r="I620" i="67"/>
  <c r="I658" i="67" s="1"/>
  <c r="K613" i="67"/>
  <c r="K651" i="67" s="1"/>
  <c r="T307" i="53"/>
  <c r="U685" i="59" s="1"/>
  <c r="U841" i="59" s="1"/>
  <c r="H300" i="53"/>
  <c r="J338" i="53" s="1"/>
  <c r="N451" i="67"/>
  <c r="N489" i="67" s="1"/>
  <c r="N547" i="67"/>
  <c r="N585" i="67" s="1"/>
  <c r="L553" i="67"/>
  <c r="L591" i="67" s="1"/>
  <c r="K556" i="67"/>
  <c r="K594" i="67" s="1"/>
  <c r="I606" i="67"/>
  <c r="I644" i="67" s="1"/>
  <c r="Q401" i="53"/>
  <c r="T439" i="53" s="1"/>
  <c r="T900" i="59" s="1"/>
  <c r="T1056" i="59" s="1"/>
  <c r="H407" i="53"/>
  <c r="J445" i="53" s="1"/>
  <c r="K412" i="53"/>
  <c r="V450" i="53" s="1"/>
  <c r="F950" i="59" s="1"/>
  <c r="L378" i="67"/>
  <c r="L416" i="67" s="1"/>
  <c r="K187" i="53"/>
  <c r="V225" i="53" s="1"/>
  <c r="F483" i="59" s="1"/>
  <c r="M471" i="67"/>
  <c r="M509" i="67" s="1"/>
  <c r="G285" i="53"/>
  <c r="J289" i="53"/>
  <c r="R327" i="53" s="1"/>
  <c r="O543" i="67"/>
  <c r="O581" i="67" s="1"/>
  <c r="L549" i="67"/>
  <c r="L587" i="67" s="1"/>
  <c r="K552" i="67"/>
  <c r="K590" i="67" s="1"/>
  <c r="J555" i="67"/>
  <c r="J593" i="67" s="1"/>
  <c r="H605" i="67"/>
  <c r="H643" i="67" s="1"/>
  <c r="K403" i="53"/>
  <c r="V441" i="53" s="1"/>
  <c r="F941" i="59" s="1"/>
  <c r="I406" i="53"/>
  <c r="O616" i="67"/>
  <c r="O654" i="67" s="1"/>
  <c r="T413" i="53"/>
  <c r="U912" i="59" s="1"/>
  <c r="U1068" i="59" s="1"/>
  <c r="I624" i="67"/>
  <c r="I662" i="67" s="1"/>
  <c r="M448" i="67"/>
  <c r="M486" i="67" s="1"/>
  <c r="O462" i="67"/>
  <c r="O500" i="67" s="1"/>
  <c r="H469" i="67"/>
  <c r="H507" i="67" s="1"/>
  <c r="J522" i="67"/>
  <c r="N542" i="67"/>
  <c r="N580" i="67" s="1"/>
  <c r="M545" i="67"/>
  <c r="M583" i="67" s="1"/>
  <c r="J551" i="67"/>
  <c r="J589" i="67" s="1"/>
  <c r="H554" i="67"/>
  <c r="H592" i="67" s="1"/>
  <c r="J402" i="53"/>
  <c r="R440" i="53" s="1"/>
  <c r="H405" i="53"/>
  <c r="J443" i="53" s="1"/>
  <c r="H618" i="67"/>
  <c r="H656" i="67" s="1"/>
  <c r="K623" i="67"/>
  <c r="K661" i="67" s="1"/>
  <c r="J441" i="67"/>
  <c r="J479" i="67" s="1"/>
  <c r="K473" i="67"/>
  <c r="K511" i="67" s="1"/>
  <c r="J282" i="53"/>
  <c r="R320" i="53" s="1"/>
  <c r="I533" i="67"/>
  <c r="I571" i="67" s="1"/>
  <c r="I537" i="67"/>
  <c r="I575" i="67" s="1"/>
  <c r="M544" i="67"/>
  <c r="M582" i="67" s="1"/>
  <c r="J550" i="67"/>
  <c r="J588" i="67" s="1"/>
  <c r="H553" i="67"/>
  <c r="H591" i="67" s="1"/>
  <c r="K398" i="53"/>
  <c r="V436" i="53" s="1"/>
  <c r="F936" i="59" s="1"/>
  <c r="J401" i="53"/>
  <c r="R439" i="53" s="1"/>
  <c r="H404" i="53"/>
  <c r="J442" i="53" s="1"/>
  <c r="K617" i="67"/>
  <c r="K655" i="67" s="1"/>
  <c r="G412" i="53"/>
  <c r="M622" i="67"/>
  <c r="M660" i="67" s="1"/>
  <c r="Q427" i="53"/>
  <c r="T465" i="53" s="1"/>
  <c r="T926" i="59" s="1"/>
  <c r="T1082" i="59" s="1"/>
  <c r="K422" i="53"/>
  <c r="V460" i="53" s="1"/>
  <c r="F960" i="59" s="1"/>
  <c r="H417" i="53"/>
  <c r="J455" i="53" s="1"/>
  <c r="O618" i="67"/>
  <c r="O656" i="67" s="1"/>
  <c r="K611" i="67"/>
  <c r="K649" i="67" s="1"/>
  <c r="O556" i="67"/>
  <c r="O594" i="67" s="1"/>
  <c r="Q192" i="53"/>
  <c r="T230" i="53" s="1"/>
  <c r="T449" i="59" s="1"/>
  <c r="T605" i="59" s="1"/>
  <c r="K299" i="53"/>
  <c r="V337" i="53" s="1"/>
  <c r="F716" i="59" s="1"/>
  <c r="I302" i="53"/>
  <c r="H305" i="53"/>
  <c r="J343" i="53" s="1"/>
  <c r="T313" i="53"/>
  <c r="U691" i="59" s="1"/>
  <c r="U847" i="59" s="1"/>
  <c r="N609" i="67"/>
  <c r="N647" i="67" s="1"/>
  <c r="M612" i="67"/>
  <c r="M650" i="67" s="1"/>
  <c r="I615" i="67"/>
  <c r="I653" i="67" s="1"/>
  <c r="H415" i="53"/>
  <c r="J453" i="53" s="1"/>
  <c r="N386" i="67"/>
  <c r="N424" i="67" s="1"/>
  <c r="K179" i="53"/>
  <c r="V217" i="53" s="1"/>
  <c r="F475" i="59" s="1"/>
  <c r="K524" i="67"/>
  <c r="K562" i="67" s="1"/>
  <c r="M528" i="67"/>
  <c r="M566" i="67" s="1"/>
  <c r="M532" i="67"/>
  <c r="M570" i="67" s="1"/>
  <c r="O536" i="67"/>
  <c r="O574" i="67" s="1"/>
  <c r="T297" i="53"/>
  <c r="U675" i="59" s="1"/>
  <c r="U831" i="59" s="1"/>
  <c r="H301" i="53"/>
  <c r="J339" i="53" s="1"/>
  <c r="O605" i="67"/>
  <c r="O643" i="67" s="1"/>
  <c r="L611" i="67"/>
  <c r="L649" i="67" s="1"/>
  <c r="K614" i="67"/>
  <c r="K652" i="67" s="1"/>
  <c r="G409" i="53"/>
  <c r="M619" i="67"/>
  <c r="M657" i="67" s="1"/>
  <c r="J414" i="53"/>
  <c r="R452" i="53" s="1"/>
  <c r="O624" i="67"/>
  <c r="O662" i="67" s="1"/>
  <c r="H451" i="67"/>
  <c r="H489" i="67" s="1"/>
  <c r="G192" i="53"/>
  <c r="H284" i="53"/>
  <c r="J322" i="53" s="1"/>
  <c r="K288" i="53"/>
  <c r="V326" i="53" s="1"/>
  <c r="F705" i="59" s="1"/>
  <c r="Q292" i="53"/>
  <c r="T330" i="53" s="1"/>
  <c r="T670" i="59" s="1"/>
  <c r="T826" i="59" s="1"/>
  <c r="Q296" i="53"/>
  <c r="T334" i="53" s="1"/>
  <c r="T674" i="59" s="1"/>
  <c r="T830" i="59" s="1"/>
  <c r="G300" i="53"/>
  <c r="O554" i="67"/>
  <c r="O592" i="67" s="1"/>
  <c r="N604" i="67"/>
  <c r="M607" i="67"/>
  <c r="M645" i="67" s="1"/>
  <c r="J613" i="67"/>
  <c r="J651" i="67" s="1"/>
  <c r="I408" i="53"/>
  <c r="N618" i="67"/>
  <c r="N656" i="67" s="1"/>
  <c r="T189" i="53"/>
  <c r="U446" i="59" s="1"/>
  <c r="U602" i="59" s="1"/>
  <c r="K196" i="53"/>
  <c r="V234" i="53" s="1"/>
  <c r="F492" i="59" s="1"/>
  <c r="O525" i="67"/>
  <c r="O563" i="67" s="1"/>
  <c r="O529" i="67"/>
  <c r="O567" i="67" s="1"/>
  <c r="T290" i="53"/>
  <c r="U668" i="59" s="1"/>
  <c r="U824" i="59" s="1"/>
  <c r="G299" i="53"/>
  <c r="O553" i="67"/>
  <c r="O591" i="67" s="1"/>
  <c r="M606" i="67"/>
  <c r="M644" i="67" s="1"/>
  <c r="J612" i="67"/>
  <c r="J650" i="67" s="1"/>
  <c r="H620" i="67"/>
  <c r="H658" i="67" s="1"/>
  <c r="L637" i="67"/>
  <c r="L675" i="67" s="1"/>
  <c r="J632" i="67"/>
  <c r="J670" i="67" s="1"/>
  <c r="Q419" i="53"/>
  <c r="T457" i="53" s="1"/>
  <c r="T918" i="59" s="1"/>
  <c r="T1074" i="59" s="1"/>
  <c r="T409" i="53"/>
  <c r="U908" i="59" s="1"/>
  <c r="U1064" i="59" s="1"/>
  <c r="L610" i="67"/>
  <c r="L648" i="67" s="1"/>
  <c r="N555" i="67"/>
  <c r="N593" i="67" s="1"/>
  <c r="K539" i="67"/>
  <c r="K577" i="67" s="1"/>
  <c r="I528" i="67"/>
  <c r="I566" i="67" s="1"/>
  <c r="N538" i="67"/>
  <c r="N576" i="67" s="1"/>
  <c r="O551" i="67"/>
  <c r="O589" i="67" s="1"/>
  <c r="J610" i="67"/>
  <c r="J648" i="67" s="1"/>
  <c r="J413" i="53"/>
  <c r="R451" i="53" s="1"/>
  <c r="K467" i="67"/>
  <c r="K505" i="67" s="1"/>
  <c r="O533" i="67"/>
  <c r="O571" i="67" s="1"/>
  <c r="J606" i="67"/>
  <c r="J644" i="67" s="1"/>
  <c r="N617" i="67"/>
  <c r="N655" i="67" s="1"/>
  <c r="H285" i="53"/>
  <c r="J323" i="53" s="1"/>
  <c r="K555" i="67"/>
  <c r="K593" i="67" s="1"/>
  <c r="J406" i="53"/>
  <c r="R444" i="53" s="1"/>
  <c r="J624" i="67"/>
  <c r="J662" i="67" s="1"/>
  <c r="J408" i="53"/>
  <c r="R446" i="53" s="1"/>
  <c r="K310" i="53"/>
  <c r="V348" i="53" s="1"/>
  <c r="F727" i="59" s="1"/>
  <c r="J622" i="67"/>
  <c r="J660" i="67" s="1"/>
  <c r="O535" i="67"/>
  <c r="O573" i="67" s="1"/>
  <c r="K306" i="53"/>
  <c r="V344" i="53" s="1"/>
  <c r="F723" i="59" s="1"/>
  <c r="T183" i="53"/>
  <c r="U440" i="59" s="1"/>
  <c r="U596" i="59" s="1"/>
  <c r="K287" i="53"/>
  <c r="V325" i="53" s="1"/>
  <c r="F704" i="59" s="1"/>
  <c r="K615" i="67"/>
  <c r="K653" i="67" s="1"/>
  <c r="M524" i="67"/>
  <c r="M562" i="67" s="1"/>
  <c r="H298" i="53"/>
  <c r="J336" i="53" s="1"/>
  <c r="O611" i="67"/>
  <c r="O649" i="67" s="1"/>
  <c r="K612" i="67"/>
  <c r="K650" i="67" s="1"/>
  <c r="H613" i="67"/>
  <c r="H651" i="67" s="1"/>
  <c r="O623" i="67"/>
  <c r="O661" i="67" s="1"/>
  <c r="O537" i="67"/>
  <c r="O575" i="67" s="1"/>
  <c r="N550" i="67"/>
  <c r="N588" i="67" s="1"/>
  <c r="H609" i="67"/>
  <c r="H647" i="67" s="1"/>
  <c r="K289" i="53"/>
  <c r="V327" i="53" s="1"/>
  <c r="F706" i="59" s="1"/>
  <c r="N546" i="67"/>
  <c r="N584" i="67" s="1"/>
  <c r="I605" i="67"/>
  <c r="I643" i="67" s="1"/>
  <c r="N449" i="67"/>
  <c r="N487" i="67" s="1"/>
  <c r="O526" i="67"/>
  <c r="O564" i="67" s="1"/>
  <c r="K554" i="67"/>
  <c r="K592" i="67" s="1"/>
  <c r="J405" i="53"/>
  <c r="R443" i="53" s="1"/>
  <c r="L623" i="67"/>
  <c r="L661" i="67" s="1"/>
  <c r="L608" i="67"/>
  <c r="L646" i="67" s="1"/>
  <c r="I544" i="67"/>
  <c r="I582" i="67" s="1"/>
  <c r="I313" i="53"/>
  <c r="J48" i="53"/>
  <c r="R86" i="53" s="1"/>
  <c r="K523" i="67"/>
  <c r="K561" i="67" s="1"/>
  <c r="T296" i="53"/>
  <c r="U674" i="59" s="1"/>
  <c r="U830" i="59" s="1"/>
  <c r="I309" i="53"/>
  <c r="T402" i="53"/>
  <c r="U901" i="59" s="1"/>
  <c r="U1057" i="59" s="1"/>
  <c r="J468" i="67"/>
  <c r="J506" i="67" s="1"/>
  <c r="K291" i="53"/>
  <c r="V329" i="53" s="1"/>
  <c r="F708" i="59" s="1"/>
  <c r="J305" i="53"/>
  <c r="R343" i="53" s="1"/>
  <c r="T398" i="53"/>
  <c r="U897" i="59" s="1"/>
  <c r="U1053" i="59" s="1"/>
  <c r="G410" i="53"/>
  <c r="G180" i="53"/>
  <c r="O528" i="67"/>
  <c r="O566" i="67" s="1"/>
  <c r="M614" i="67"/>
  <c r="M652" i="67" s="1"/>
  <c r="K430" i="53"/>
  <c r="V468" i="53" s="1"/>
  <c r="F968" i="59" s="1"/>
  <c r="O604" i="67"/>
  <c r="Q194" i="53"/>
  <c r="T232" i="53" s="1"/>
  <c r="T451" i="59" s="1"/>
  <c r="T607" i="59" s="1"/>
  <c r="L604" i="67"/>
  <c r="G408" i="53"/>
  <c r="J165" i="53"/>
  <c r="R203" i="53" s="1"/>
  <c r="K525" i="67"/>
  <c r="K563" i="67" s="1"/>
  <c r="T298" i="53"/>
  <c r="U676" i="59" s="1"/>
  <c r="U832" i="59" s="1"/>
  <c r="M553" i="67"/>
  <c r="M591" i="67" s="1"/>
  <c r="Q293" i="53"/>
  <c r="T331" i="53" s="1"/>
  <c r="T671" i="59" s="1"/>
  <c r="T827" i="59" s="1"/>
  <c r="M549" i="67"/>
  <c r="M587" i="67" s="1"/>
  <c r="Q400" i="53"/>
  <c r="T438" i="53" s="1"/>
  <c r="T899" i="59" s="1"/>
  <c r="T1055" i="59" s="1"/>
  <c r="Q411" i="53"/>
  <c r="T449" i="53" s="1"/>
  <c r="T910" i="59" s="1"/>
  <c r="T1066" i="59" s="1"/>
  <c r="T287" i="53"/>
  <c r="U665" i="59" s="1"/>
  <c r="U821" i="59" s="1"/>
  <c r="N545" i="67"/>
  <c r="N583" i="67" s="1"/>
  <c r="I604" i="67"/>
  <c r="N626" i="67"/>
  <c r="N664" i="67" s="1"/>
  <c r="N463" i="67"/>
  <c r="N501" i="67" s="1"/>
  <c r="Q304" i="53"/>
  <c r="T342" i="53" s="1"/>
  <c r="T682" i="59" s="1"/>
  <c r="T838" i="59" s="1"/>
  <c r="G398" i="53"/>
  <c r="Q409" i="53"/>
  <c r="T447" i="53" s="1"/>
  <c r="T908" i="59" s="1"/>
  <c r="T1064" i="59" s="1"/>
  <c r="I453" i="67"/>
  <c r="I491" i="67" s="1"/>
  <c r="K527" i="67"/>
  <c r="K565" i="67" s="1"/>
  <c r="H543" i="67"/>
  <c r="H581" i="67" s="1"/>
  <c r="G312" i="53"/>
  <c r="H416" i="53"/>
  <c r="J454" i="53" s="1"/>
  <c r="N474" i="67"/>
  <c r="N512" i="67" s="1"/>
  <c r="Q295" i="53"/>
  <c r="T333" i="53" s="1"/>
  <c r="T673" i="59" s="1"/>
  <c r="T829" i="59" s="1"/>
  <c r="H308" i="53"/>
  <c r="J346" i="53" s="1"/>
  <c r="M620" i="67"/>
  <c r="M658" i="67" s="1"/>
  <c r="T289" i="53"/>
  <c r="U667" i="59" s="1"/>
  <c r="U823" i="59" s="1"/>
  <c r="J304" i="53"/>
  <c r="R342" i="53" s="1"/>
  <c r="T397" i="53"/>
  <c r="U896" i="59" s="1"/>
  <c r="U1052" i="59" s="1"/>
  <c r="J409" i="53"/>
  <c r="R447" i="53" s="1"/>
  <c r="I625" i="67"/>
  <c r="I663" i="67" s="1"/>
  <c r="T306" i="53"/>
  <c r="U684" i="59" s="1"/>
  <c r="U840" i="59" s="1"/>
  <c r="O444" i="67"/>
  <c r="O482" i="67" s="1"/>
  <c r="K607" i="67"/>
  <c r="K645" i="67" s="1"/>
  <c r="M618" i="67"/>
  <c r="M656" i="67" s="1"/>
  <c r="M529" i="67"/>
  <c r="M567" i="67" s="1"/>
  <c r="I407" i="53"/>
  <c r="J540" i="67"/>
  <c r="J578" i="67" s="1"/>
  <c r="L552" i="67"/>
  <c r="L590" i="67" s="1"/>
  <c r="J469" i="67"/>
  <c r="J507" i="67" s="1"/>
  <c r="T291" i="53"/>
  <c r="U669" i="59" s="1"/>
  <c r="U825" i="59" s="1"/>
  <c r="M548" i="67"/>
  <c r="M586" i="67" s="1"/>
  <c r="Q399" i="53"/>
  <c r="T437" i="53" s="1"/>
  <c r="T898" i="59" s="1"/>
  <c r="T1054" i="59" s="1"/>
  <c r="J618" i="67"/>
  <c r="J656" i="67" s="1"/>
  <c r="H634" i="67"/>
  <c r="H672" i="67" s="1"/>
  <c r="M531" i="67"/>
  <c r="M569" i="67" s="1"/>
  <c r="I616" i="67"/>
  <c r="I654" i="67" s="1"/>
  <c r="H283" i="53"/>
  <c r="J321" i="53" s="1"/>
  <c r="Q299" i="53"/>
  <c r="T337" i="53" s="1"/>
  <c r="T677" i="59" s="1"/>
  <c r="T833" i="59" s="1"/>
  <c r="O612" i="67"/>
  <c r="O650" i="67" s="1"/>
  <c r="J415" i="53"/>
  <c r="R453" i="53" s="1"/>
  <c r="H307" i="53"/>
  <c r="J345" i="53" s="1"/>
  <c r="O619" i="67"/>
  <c r="O657" i="67" s="1"/>
  <c r="H425" i="53"/>
  <c r="J463" i="53" s="1"/>
  <c r="H299" i="53"/>
  <c r="J337" i="53" s="1"/>
  <c r="J62" i="53"/>
  <c r="R100" i="53" s="1"/>
  <c r="G298" i="53"/>
  <c r="K538" i="67"/>
  <c r="K576" i="67" s="1"/>
  <c r="H533" i="67"/>
  <c r="H571" i="67" s="1"/>
  <c r="N525" i="67"/>
  <c r="N563" i="67" s="1"/>
  <c r="I280" i="53"/>
  <c r="T194" i="53"/>
  <c r="U451" i="59" s="1"/>
  <c r="U607" i="59" s="1"/>
  <c r="O468" i="67"/>
  <c r="O506" i="67" s="1"/>
  <c r="M464" i="67"/>
  <c r="M502" i="67" s="1"/>
  <c r="M459" i="67"/>
  <c r="M497" i="67" s="1"/>
  <c r="H449" i="67"/>
  <c r="H487" i="67" s="1"/>
  <c r="H611" i="67"/>
  <c r="H649" i="67" s="1"/>
  <c r="N556" i="67"/>
  <c r="N594" i="67" s="1"/>
  <c r="I311" i="53"/>
  <c r="L551" i="67"/>
  <c r="L589" i="67" s="1"/>
  <c r="J546" i="67"/>
  <c r="J584" i="67" s="1"/>
  <c r="Q298" i="53"/>
  <c r="T336" i="53" s="1"/>
  <c r="T676" i="59" s="1"/>
  <c r="T832" i="59" s="1"/>
  <c r="K293" i="53"/>
  <c r="V331" i="53" s="1"/>
  <c r="F710" i="59" s="1"/>
  <c r="H288" i="53"/>
  <c r="J326" i="53" s="1"/>
  <c r="I523" i="67"/>
  <c r="I561" i="67" s="1"/>
  <c r="K195" i="53"/>
  <c r="V233" i="53" s="1"/>
  <c r="F491" i="59" s="1"/>
  <c r="I191" i="53"/>
  <c r="G187" i="53"/>
  <c r="M460" i="67"/>
  <c r="M498" i="67" s="1"/>
  <c r="T52" i="53"/>
  <c r="U188" i="59" s="1"/>
  <c r="U344" i="59" s="1"/>
  <c r="O540" i="67"/>
  <c r="O578" i="67" s="1"/>
  <c r="J295" i="53"/>
  <c r="R333" i="53" s="1"/>
  <c r="M535" i="67"/>
  <c r="M573" i="67" s="1"/>
  <c r="G290" i="53"/>
  <c r="K530" i="67"/>
  <c r="K568" i="67" s="1"/>
  <c r="H525" i="67"/>
  <c r="H563" i="67" s="1"/>
  <c r="J190" i="53"/>
  <c r="R228" i="53" s="1"/>
  <c r="H186" i="53"/>
  <c r="J224" i="53" s="1"/>
  <c r="N458" i="67"/>
  <c r="N496" i="67" s="1"/>
  <c r="M613" i="67"/>
  <c r="M651" i="67" s="1"/>
  <c r="G403" i="53"/>
  <c r="K608" i="67"/>
  <c r="K646" i="67" s="1"/>
  <c r="H556" i="67"/>
  <c r="H594" i="67" s="1"/>
  <c r="N548" i="67"/>
  <c r="N586" i="67" s="1"/>
  <c r="I303" i="53"/>
  <c r="L543" i="67"/>
  <c r="L581" i="67" s="1"/>
  <c r="J538" i="67"/>
  <c r="J576" i="67" s="1"/>
  <c r="Q290" i="53"/>
  <c r="T328" i="53" s="1"/>
  <c r="T668" i="59" s="1"/>
  <c r="T824" i="59" s="1"/>
  <c r="K285" i="53"/>
  <c r="V323" i="53" s="1"/>
  <c r="F702" i="59" s="1"/>
  <c r="H280" i="53"/>
  <c r="J318" i="53" s="1"/>
  <c r="O472" i="67"/>
  <c r="O510" i="67" s="1"/>
  <c r="N468" i="67"/>
  <c r="N506" i="67" s="1"/>
  <c r="L464" i="67"/>
  <c r="L502" i="67" s="1"/>
  <c r="K459" i="67"/>
  <c r="K497" i="67" s="1"/>
  <c r="I540" i="67"/>
  <c r="I578" i="67" s="1"/>
  <c r="T294" i="53"/>
  <c r="U672" i="59" s="1"/>
  <c r="U828" i="59" s="1"/>
  <c r="O532" i="67"/>
  <c r="O570" i="67" s="1"/>
  <c r="J287" i="53"/>
  <c r="R325" i="53" s="1"/>
  <c r="M527" i="67"/>
  <c r="M565" i="67" s="1"/>
  <c r="G282" i="53"/>
  <c r="I522" i="67"/>
  <c r="O467" i="67"/>
  <c r="O505" i="67" s="1"/>
  <c r="M463" i="67"/>
  <c r="M501" i="67" s="1"/>
  <c r="L457" i="67"/>
  <c r="L495" i="67" s="1"/>
  <c r="O610" i="67"/>
  <c r="O648" i="67" s="1"/>
  <c r="J400" i="53"/>
  <c r="R438" i="53" s="1"/>
  <c r="M605" i="67"/>
  <c r="M643" i="67" s="1"/>
  <c r="G313" i="53"/>
  <c r="K553" i="67"/>
  <c r="K591" i="67" s="1"/>
  <c r="H548" i="67"/>
  <c r="H586" i="67" s="1"/>
  <c r="N540" i="67"/>
  <c r="N578" i="67" s="1"/>
  <c r="I295" i="53"/>
  <c r="L535" i="67"/>
  <c r="L573" i="67" s="1"/>
  <c r="J530" i="67"/>
  <c r="J568" i="67" s="1"/>
  <c r="Q282" i="53"/>
  <c r="T320" i="53" s="1"/>
  <c r="T660" i="59" s="1"/>
  <c r="T816" i="59" s="1"/>
  <c r="I190" i="53"/>
  <c r="H297" i="53"/>
  <c r="J335" i="53" s="1"/>
  <c r="I532" i="67"/>
  <c r="I570" i="67" s="1"/>
  <c r="T286" i="53"/>
  <c r="U664" i="59" s="1"/>
  <c r="U820" i="59" s="1"/>
  <c r="O524" i="67"/>
  <c r="O562" i="67" s="1"/>
  <c r="J189" i="53"/>
  <c r="R227" i="53" s="1"/>
  <c r="G185" i="53"/>
  <c r="L456" i="67"/>
  <c r="L494" i="67" s="1"/>
  <c r="L444" i="67"/>
  <c r="L482" i="67" s="1"/>
  <c r="M364" i="67"/>
  <c r="M402" i="67" s="1"/>
  <c r="I610" i="67"/>
  <c r="I648" i="67" s="1"/>
  <c r="T399" i="53"/>
  <c r="U898" i="59" s="1"/>
  <c r="U1054" i="59" s="1"/>
  <c r="O555" i="67"/>
  <c r="O593" i="67" s="1"/>
  <c r="J310" i="53"/>
  <c r="R348" i="53" s="1"/>
  <c r="M550" i="67"/>
  <c r="M588" i="67" s="1"/>
  <c r="G305" i="53"/>
  <c r="K545" i="67"/>
  <c r="K583" i="67" s="1"/>
  <c r="H540" i="67"/>
  <c r="H578" i="67" s="1"/>
  <c r="N532" i="67"/>
  <c r="N570" i="67" s="1"/>
  <c r="I287" i="53"/>
  <c r="L527" i="67"/>
  <c r="L565" i="67" s="1"/>
  <c r="Q279" i="53"/>
  <c r="T317" i="53" s="1"/>
  <c r="T657" i="59" s="1"/>
  <c r="N471" i="67"/>
  <c r="N509" i="67" s="1"/>
  <c r="M467" i="67"/>
  <c r="M505" i="67" s="1"/>
  <c r="L463" i="67"/>
  <c r="L501" i="67" s="1"/>
  <c r="K294" i="53"/>
  <c r="V332" i="53" s="1"/>
  <c r="F711" i="59" s="1"/>
  <c r="H289" i="53"/>
  <c r="J327" i="53" s="1"/>
  <c r="I524" i="67"/>
  <c r="I562" i="67" s="1"/>
  <c r="O470" i="67"/>
  <c r="O508" i="67" s="1"/>
  <c r="M462" i="67"/>
  <c r="M500" i="67" s="1"/>
  <c r="O442" i="67"/>
  <c r="O480" i="67" s="1"/>
  <c r="H402" i="53"/>
  <c r="J440" i="53" s="1"/>
  <c r="I555" i="67"/>
  <c r="I593" i="67" s="1"/>
  <c r="T309" i="53"/>
  <c r="U687" i="59" s="1"/>
  <c r="U843" i="59" s="1"/>
  <c r="O547" i="67"/>
  <c r="O585" i="67" s="1"/>
  <c r="J302" i="53"/>
  <c r="R340" i="53" s="1"/>
  <c r="M542" i="67"/>
  <c r="M580" i="67" s="1"/>
  <c r="G297" i="53"/>
  <c r="K537" i="67"/>
  <c r="K575" i="67" s="1"/>
  <c r="H532" i="67"/>
  <c r="H570" i="67" s="1"/>
  <c r="N524" i="67"/>
  <c r="N562" i="67" s="1"/>
  <c r="I189" i="53"/>
  <c r="H388" i="67"/>
  <c r="H426" i="67" s="1"/>
  <c r="J539" i="67"/>
  <c r="J577" i="67" s="1"/>
  <c r="Q291" i="53"/>
  <c r="T329" i="53" s="1"/>
  <c r="T669" i="59" s="1"/>
  <c r="T825" i="59" s="1"/>
  <c r="K286" i="53"/>
  <c r="V324" i="53" s="1"/>
  <c r="F703" i="59" s="1"/>
  <c r="H281" i="53"/>
  <c r="J319" i="53" s="1"/>
  <c r="I196" i="53"/>
  <c r="J188" i="53"/>
  <c r="R226" i="53" s="1"/>
  <c r="G184" i="53"/>
  <c r="G176" i="53"/>
  <c r="Q404" i="53"/>
  <c r="T442" i="53" s="1"/>
  <c r="T903" i="59" s="1"/>
  <c r="T1059" i="59" s="1"/>
  <c r="K399" i="53"/>
  <c r="V437" i="53" s="1"/>
  <c r="F937" i="59" s="1"/>
  <c r="H312" i="53"/>
  <c r="J350" i="53" s="1"/>
  <c r="I547" i="67"/>
  <c r="I585" i="67" s="1"/>
  <c r="T301" i="53"/>
  <c r="U679" i="59" s="1"/>
  <c r="U835" i="59" s="1"/>
  <c r="O539" i="67"/>
  <c r="O577" i="67" s="1"/>
  <c r="J294" i="53"/>
  <c r="R332" i="53" s="1"/>
  <c r="M534" i="67"/>
  <c r="M572" i="67" s="1"/>
  <c r="G289" i="53"/>
  <c r="K529" i="67"/>
  <c r="K567" i="67" s="1"/>
  <c r="H524" i="67"/>
  <c r="H562" i="67" s="1"/>
  <c r="K474" i="67"/>
  <c r="K512" i="67" s="1"/>
  <c r="N470" i="67"/>
  <c r="N508" i="67" s="1"/>
  <c r="L466" i="67"/>
  <c r="L504" i="67" s="1"/>
  <c r="K462" i="67"/>
  <c r="K500" i="67" s="1"/>
  <c r="N541" i="67"/>
  <c r="N579" i="67" s="1"/>
  <c r="I296" i="53"/>
  <c r="L536" i="67"/>
  <c r="L574" i="67" s="1"/>
  <c r="J531" i="67"/>
  <c r="J569" i="67" s="1"/>
  <c r="Q283" i="53"/>
  <c r="T321" i="53" s="1"/>
  <c r="T661" i="59" s="1"/>
  <c r="T817" i="59" s="1"/>
  <c r="N473" i="67"/>
  <c r="N511" i="67" s="1"/>
  <c r="O469" i="67"/>
  <c r="O507" i="67" s="1"/>
  <c r="M465" i="67"/>
  <c r="M503" i="67" s="1"/>
  <c r="O452" i="67"/>
  <c r="O490" i="67" s="1"/>
  <c r="H391" i="67"/>
  <c r="H429" i="67" s="1"/>
  <c r="J609" i="67"/>
  <c r="J647" i="67" s="1"/>
  <c r="Q396" i="53"/>
  <c r="T434" i="53" s="1"/>
  <c r="T895" i="59" s="1"/>
  <c r="K309" i="53"/>
  <c r="V347" i="53" s="1"/>
  <c r="F726" i="59" s="1"/>
  <c r="H304" i="53"/>
  <c r="J342" i="53" s="1"/>
  <c r="I539" i="67"/>
  <c r="I577" i="67" s="1"/>
  <c r="T293" i="53"/>
  <c r="U671" i="59" s="1"/>
  <c r="U827" i="59" s="1"/>
  <c r="O531" i="67"/>
  <c r="O569" i="67" s="1"/>
  <c r="J286" i="53"/>
  <c r="R324" i="53" s="1"/>
  <c r="M526" i="67"/>
  <c r="M564" i="67" s="1"/>
  <c r="G281" i="53"/>
  <c r="G196" i="53"/>
  <c r="J192" i="53"/>
  <c r="R230" i="53" s="1"/>
  <c r="I188" i="53"/>
  <c r="H541" i="67"/>
  <c r="H579" i="67" s="1"/>
  <c r="N533" i="67"/>
  <c r="N571" i="67" s="1"/>
  <c r="I288" i="53"/>
  <c r="L528" i="67"/>
  <c r="L566" i="67" s="1"/>
  <c r="J523" i="67"/>
  <c r="J561" i="67" s="1"/>
  <c r="K191" i="53"/>
  <c r="V229" i="53" s="1"/>
  <c r="F487" i="59" s="1"/>
  <c r="J187" i="53"/>
  <c r="R225" i="53" s="1"/>
  <c r="O460" i="67"/>
  <c r="O498" i="67" s="1"/>
  <c r="N611" i="67"/>
  <c r="N649" i="67" s="1"/>
  <c r="I401" i="53"/>
  <c r="L606" i="67"/>
  <c r="L644" i="67" s="1"/>
  <c r="J554" i="67"/>
  <c r="J592" i="67" s="1"/>
  <c r="Q306" i="53"/>
  <c r="T344" i="53" s="1"/>
  <c r="T684" i="59" s="1"/>
  <c r="T840" i="59" s="1"/>
  <c r="K301" i="53"/>
  <c r="V339" i="53" s="1"/>
  <c r="F718" i="59" s="1"/>
  <c r="H296" i="53"/>
  <c r="J334" i="53" s="1"/>
  <c r="I531" i="67"/>
  <c r="I569" i="67" s="1"/>
  <c r="T285" i="53"/>
  <c r="U663" i="59" s="1"/>
  <c r="U819" i="59" s="1"/>
  <c r="O523" i="67"/>
  <c r="O561" i="67" s="1"/>
  <c r="M473" i="67"/>
  <c r="M511" i="67" s="1"/>
  <c r="N469" i="67"/>
  <c r="N507" i="67" s="1"/>
  <c r="L465" i="67"/>
  <c r="L503" i="67" s="1"/>
  <c r="J461" i="67"/>
  <c r="J499" i="67" s="1"/>
  <c r="I452" i="67"/>
  <c r="I490" i="67" s="1"/>
  <c r="G78" i="53"/>
  <c r="H539" i="67"/>
  <c r="H577" i="67" s="1"/>
  <c r="N531" i="67"/>
  <c r="N569" i="67" s="1"/>
  <c r="I286" i="53"/>
  <c r="L526" i="67"/>
  <c r="L564" i="67" s="1"/>
  <c r="H192" i="53"/>
  <c r="J230" i="53" s="1"/>
  <c r="T175" i="53"/>
  <c r="U432" i="59" s="1"/>
  <c r="U588" i="59" s="1"/>
  <c r="J440" i="67"/>
  <c r="T172" i="53"/>
  <c r="U429" i="59" s="1"/>
  <c r="U585" i="59" s="1"/>
  <c r="M541" i="67"/>
  <c r="M579" i="67" s="1"/>
  <c r="G296" i="53"/>
  <c r="K536" i="67"/>
  <c r="K574" i="67" s="1"/>
  <c r="H531" i="67"/>
  <c r="H569" i="67" s="1"/>
  <c r="N523" i="67"/>
  <c r="N561" i="67" s="1"/>
  <c r="L473" i="67"/>
  <c r="L511" i="67" s="1"/>
  <c r="I461" i="67"/>
  <c r="I499" i="67" s="1"/>
  <c r="I174" i="53"/>
  <c r="M390" i="67"/>
  <c r="M428" i="67" s="1"/>
  <c r="H171" i="53"/>
  <c r="J209" i="53" s="1"/>
  <c r="K71" i="53"/>
  <c r="V109" i="53" s="1"/>
  <c r="F246" i="59" s="1"/>
  <c r="O538" i="67"/>
  <c r="O576" i="67" s="1"/>
  <c r="J293" i="53"/>
  <c r="R331" i="53" s="1"/>
  <c r="M533" i="67"/>
  <c r="M571" i="67" s="1"/>
  <c r="G288" i="53"/>
  <c r="K528" i="67"/>
  <c r="K566" i="67" s="1"/>
  <c r="H523" i="67"/>
  <c r="H561" i="67" s="1"/>
  <c r="J195" i="53"/>
  <c r="R233" i="53" s="1"/>
  <c r="H191" i="53"/>
  <c r="J229" i="53" s="1"/>
  <c r="I460" i="67"/>
  <c r="I498" i="67" s="1"/>
  <c r="N450" i="67"/>
  <c r="N488" i="67" s="1"/>
  <c r="K74" i="53"/>
  <c r="V112" i="53" s="1"/>
  <c r="F249" i="59" s="1"/>
  <c r="K458" i="67"/>
  <c r="K496" i="67" s="1"/>
  <c r="M447" i="67"/>
  <c r="M485" i="67" s="1"/>
  <c r="I538" i="67"/>
  <c r="I576" i="67" s="1"/>
  <c r="T292" i="53"/>
  <c r="U670" i="59" s="1"/>
  <c r="U826" i="59" s="1"/>
  <c r="O530" i="67"/>
  <c r="O568" i="67" s="1"/>
  <c r="J285" i="53"/>
  <c r="R323" i="53" s="1"/>
  <c r="M525" i="67"/>
  <c r="M563" i="67" s="1"/>
  <c r="G280" i="53"/>
  <c r="L468" i="67"/>
  <c r="L506" i="67" s="1"/>
  <c r="J459" i="67"/>
  <c r="J497" i="67" s="1"/>
  <c r="T167" i="53"/>
  <c r="U424" i="59" s="1"/>
  <c r="U580" i="59" s="1"/>
  <c r="H295" i="53"/>
  <c r="J333" i="53" s="1"/>
  <c r="I530" i="67"/>
  <c r="I568" i="67" s="1"/>
  <c r="T284" i="53"/>
  <c r="U662" i="59" s="1"/>
  <c r="U818" i="59" s="1"/>
  <c r="O522" i="67"/>
  <c r="K194" i="53"/>
  <c r="V232" i="53" s="1"/>
  <c r="F490" i="59" s="1"/>
  <c r="H190" i="53"/>
  <c r="J228" i="53" s="1"/>
  <c r="Q180" i="53"/>
  <c r="T218" i="53" s="1"/>
  <c r="T437" i="59" s="1"/>
  <c r="T593" i="59" s="1"/>
  <c r="I456" i="67"/>
  <c r="I494" i="67" s="1"/>
  <c r="L362" i="67"/>
  <c r="L400" i="67" s="1"/>
  <c r="Q297" i="53"/>
  <c r="T335" i="53" s="1"/>
  <c r="T675" i="59" s="1"/>
  <c r="T831" i="59" s="1"/>
  <c r="K292" i="53"/>
  <c r="V330" i="53" s="1"/>
  <c r="F709" i="59" s="1"/>
  <c r="H287" i="53"/>
  <c r="J325" i="53" s="1"/>
  <c r="J463" i="67"/>
  <c r="J501" i="67" s="1"/>
  <c r="I457" i="67"/>
  <c r="I495" i="67" s="1"/>
  <c r="O445" i="67"/>
  <c r="O483" i="67" s="1"/>
  <c r="G59" i="53"/>
  <c r="H455" i="67"/>
  <c r="H493" i="67" s="1"/>
  <c r="N442" i="67"/>
  <c r="N480" i="67" s="1"/>
  <c r="J537" i="67"/>
  <c r="J575" i="67" s="1"/>
  <c r="Q289" i="53"/>
  <c r="T327" i="53" s="1"/>
  <c r="T667" i="59" s="1"/>
  <c r="T823" i="59" s="1"/>
  <c r="K284" i="53"/>
  <c r="V322" i="53" s="1"/>
  <c r="F701" i="59" s="1"/>
  <c r="T196" i="53"/>
  <c r="U453" i="59" s="1"/>
  <c r="U609" i="59" s="1"/>
  <c r="I193" i="53"/>
  <c r="H189" i="53"/>
  <c r="J227" i="53" s="1"/>
  <c r="O440" i="67"/>
  <c r="N539" i="67"/>
  <c r="N577" i="67" s="1"/>
  <c r="I294" i="53"/>
  <c r="L534" i="67"/>
  <c r="L572" i="67" s="1"/>
  <c r="J529" i="67"/>
  <c r="J567" i="67" s="1"/>
  <c r="Q281" i="53"/>
  <c r="T319" i="53" s="1"/>
  <c r="T659" i="59" s="1"/>
  <c r="T815" i="59" s="1"/>
  <c r="J474" i="67"/>
  <c r="J512" i="67" s="1"/>
  <c r="I462" i="67"/>
  <c r="I500" i="67" s="1"/>
  <c r="I177" i="53"/>
  <c r="K442" i="67"/>
  <c r="K480" i="67" s="1"/>
  <c r="O368" i="67"/>
  <c r="O406" i="67" s="1"/>
  <c r="I474" i="67"/>
  <c r="I512" i="67" s="1"/>
  <c r="T193" i="53"/>
  <c r="U450" i="59" s="1"/>
  <c r="U606" i="59" s="1"/>
  <c r="O466" i="67"/>
  <c r="O504" i="67" s="1"/>
  <c r="J186" i="53"/>
  <c r="R224" i="53" s="1"/>
  <c r="M461" i="67"/>
  <c r="M499" i="67" s="1"/>
  <c r="O456" i="67"/>
  <c r="O494" i="67" s="1"/>
  <c r="L449" i="67"/>
  <c r="L487" i="67" s="1"/>
  <c r="I441" i="67"/>
  <c r="I479" i="67" s="1"/>
  <c r="T68" i="53"/>
  <c r="U204" i="59" s="1"/>
  <c r="U360" i="59" s="1"/>
  <c r="K192" i="53"/>
  <c r="V230" i="53" s="1"/>
  <c r="F488" i="59" s="1"/>
  <c r="H187" i="53"/>
  <c r="J225" i="53" s="1"/>
  <c r="J452" i="67"/>
  <c r="J490" i="67" s="1"/>
  <c r="H367" i="67"/>
  <c r="H405" i="67" s="1"/>
  <c r="J54" i="53"/>
  <c r="R92" i="53" s="1"/>
  <c r="I471" i="67"/>
  <c r="I509" i="67" s="1"/>
  <c r="T190" i="53"/>
  <c r="U447" i="59" s="1"/>
  <c r="U603" i="59" s="1"/>
  <c r="O463" i="67"/>
  <c r="O501" i="67" s="1"/>
  <c r="I170" i="53"/>
  <c r="G66" i="53"/>
  <c r="H196" i="53"/>
  <c r="J234" i="53" s="1"/>
  <c r="I466" i="67"/>
  <c r="I504" i="67" s="1"/>
  <c r="T185" i="53"/>
  <c r="U442" i="59" s="1"/>
  <c r="U598" i="59" s="1"/>
  <c r="K183" i="53"/>
  <c r="V221" i="53" s="1"/>
  <c r="F479" i="59" s="1"/>
  <c r="H178" i="53"/>
  <c r="J216" i="53" s="1"/>
  <c r="L448" i="67"/>
  <c r="L486" i="67" s="1"/>
  <c r="I440" i="67"/>
  <c r="J472" i="67"/>
  <c r="J510" i="67" s="1"/>
  <c r="Q189" i="53"/>
  <c r="T227" i="53" s="1"/>
  <c r="T446" i="59" s="1"/>
  <c r="T602" i="59" s="1"/>
  <c r="K184" i="53"/>
  <c r="V222" i="53" s="1"/>
  <c r="F480" i="59" s="1"/>
  <c r="J451" i="67"/>
  <c r="J489" i="67" s="1"/>
  <c r="H72" i="53"/>
  <c r="J110" i="53" s="1"/>
  <c r="H193" i="53"/>
  <c r="J231" i="53" s="1"/>
  <c r="I463" i="67"/>
  <c r="I501" i="67" s="1"/>
  <c r="I169" i="53"/>
  <c r="K391" i="67"/>
  <c r="K429" i="67" s="1"/>
  <c r="I71" i="53"/>
  <c r="O361" i="67"/>
  <c r="O399" i="67" s="1"/>
  <c r="K193" i="53"/>
  <c r="V231" i="53" s="1"/>
  <c r="F489" i="59" s="1"/>
  <c r="H188" i="53"/>
  <c r="J226" i="53" s="1"/>
  <c r="L460" i="67"/>
  <c r="L498" i="67" s="1"/>
  <c r="Q177" i="53"/>
  <c r="T215" i="53" s="1"/>
  <c r="T434" i="59" s="1"/>
  <c r="T590" i="59" s="1"/>
  <c r="K79" i="53"/>
  <c r="V117" i="53" s="1"/>
  <c r="F254" i="59" s="1"/>
  <c r="M377" i="67"/>
  <c r="M415" i="67" s="1"/>
  <c r="I194" i="53"/>
  <c r="L469" i="67"/>
  <c r="L507" i="67" s="1"/>
  <c r="J464" i="67"/>
  <c r="J502" i="67" s="1"/>
  <c r="I450" i="67"/>
  <c r="I488" i="67" s="1"/>
  <c r="K164" i="53"/>
  <c r="V202" i="53" s="1"/>
  <c r="F460" i="59" s="1"/>
  <c r="H383" i="67"/>
  <c r="H421" i="67" s="1"/>
  <c r="Q47" i="53"/>
  <c r="T85" i="53" s="1"/>
  <c r="T183" i="59" s="1"/>
  <c r="T339" i="59" s="1"/>
  <c r="N359" i="67"/>
  <c r="N397" i="67" s="1"/>
  <c r="Q195" i="53"/>
  <c r="T233" i="53" s="1"/>
  <c r="T452" i="59" s="1"/>
  <c r="T608" i="59" s="1"/>
  <c r="K190" i="53"/>
  <c r="V228" i="53" s="1"/>
  <c r="F486" i="59" s="1"/>
  <c r="H185" i="53"/>
  <c r="J223" i="53" s="1"/>
  <c r="H176" i="53"/>
  <c r="J214" i="53" s="1"/>
  <c r="G168" i="53"/>
  <c r="N441" i="67"/>
  <c r="N479" i="67" s="1"/>
  <c r="Q69" i="53"/>
  <c r="T107" i="53" s="1"/>
  <c r="T205" i="59" s="1"/>
  <c r="T361" i="59" s="1"/>
  <c r="J473" i="67"/>
  <c r="J511" i="67" s="1"/>
  <c r="Q190" i="53"/>
  <c r="T228" i="53" s="1"/>
  <c r="T447" i="59" s="1"/>
  <c r="T603" i="59" s="1"/>
  <c r="K185" i="53"/>
  <c r="V223" i="53" s="1"/>
  <c r="F481" i="59" s="1"/>
  <c r="K454" i="67"/>
  <c r="K492" i="67" s="1"/>
  <c r="G62" i="53"/>
  <c r="N466" i="67"/>
  <c r="N504" i="67" s="1"/>
  <c r="I186" i="53"/>
  <c r="L461" i="67"/>
  <c r="L499" i="67" s="1"/>
  <c r="M456" i="67"/>
  <c r="M494" i="67" s="1"/>
  <c r="I449" i="67"/>
  <c r="I487" i="67" s="1"/>
  <c r="K163" i="53"/>
  <c r="V201" i="53" s="1"/>
  <c r="F459" i="59" s="1"/>
  <c r="K381" i="67"/>
  <c r="K419" i="67" s="1"/>
  <c r="H381" i="67"/>
  <c r="H419" i="67" s="1"/>
  <c r="L522" i="67"/>
  <c r="J470" i="67"/>
  <c r="J508" i="67" s="1"/>
  <c r="Q187" i="53"/>
  <c r="T225" i="53" s="1"/>
  <c r="T444" i="59" s="1"/>
  <c r="T600" i="59" s="1"/>
  <c r="G167" i="53"/>
  <c r="G75" i="53"/>
  <c r="G57" i="53"/>
  <c r="M440" i="67"/>
  <c r="H380" i="67"/>
  <c r="H418" i="67" s="1"/>
  <c r="N522" i="67"/>
  <c r="I195" i="53"/>
  <c r="L470" i="67"/>
  <c r="L508" i="67" s="1"/>
  <c r="J465" i="67"/>
  <c r="J503" i="67" s="1"/>
  <c r="M453" i="67"/>
  <c r="M491" i="67" s="1"/>
  <c r="I371" i="67"/>
  <c r="I409" i="67" s="1"/>
  <c r="K471" i="67"/>
  <c r="K509" i="67" s="1"/>
  <c r="H466" i="67"/>
  <c r="H504" i="67" s="1"/>
  <c r="H183" i="53"/>
  <c r="J221" i="53" s="1"/>
  <c r="I448" i="67"/>
  <c r="I486" i="67" s="1"/>
  <c r="J162" i="53"/>
  <c r="R200" i="53" s="1"/>
  <c r="L379" i="67"/>
  <c r="L417" i="67" s="1"/>
  <c r="I379" i="67"/>
  <c r="I417" i="67" s="1"/>
  <c r="N472" i="67"/>
  <c r="N510" i="67" s="1"/>
  <c r="I192" i="53"/>
  <c r="L467" i="67"/>
  <c r="L505" i="67" s="1"/>
  <c r="J462" i="67"/>
  <c r="J500" i="67" s="1"/>
  <c r="H458" i="67"/>
  <c r="H496" i="67" s="1"/>
  <c r="H386" i="67"/>
  <c r="H424" i="67" s="1"/>
  <c r="M366" i="67"/>
  <c r="M404" i="67" s="1"/>
  <c r="H65" i="53"/>
  <c r="J103" i="53" s="1"/>
  <c r="H522" i="67"/>
  <c r="N467" i="67"/>
  <c r="N505" i="67" s="1"/>
  <c r="I187" i="53"/>
  <c r="L462" i="67"/>
  <c r="L500" i="67" s="1"/>
  <c r="J444" i="67"/>
  <c r="J482" i="67" s="1"/>
  <c r="H74" i="53"/>
  <c r="J112" i="53" s="1"/>
  <c r="J193" i="53"/>
  <c r="R231" i="53" s="1"/>
  <c r="M468" i="67"/>
  <c r="M506" i="67" s="1"/>
  <c r="G188" i="53"/>
  <c r="K463" i="67"/>
  <c r="K501" i="67" s="1"/>
  <c r="J460" i="67"/>
  <c r="J498" i="67" s="1"/>
  <c r="J177" i="53"/>
  <c r="R215" i="53" s="1"/>
  <c r="Q169" i="53"/>
  <c r="T207" i="53" s="1"/>
  <c r="T426" i="59" s="1"/>
  <c r="T582" i="59" s="1"/>
  <c r="H64" i="53"/>
  <c r="J102" i="53" s="1"/>
  <c r="H472" i="67"/>
  <c r="H510" i="67" s="1"/>
  <c r="N464" i="67"/>
  <c r="N502" i="67" s="1"/>
  <c r="I184" i="53"/>
  <c r="O457" i="67"/>
  <c r="O495" i="67" s="1"/>
  <c r="J173" i="53"/>
  <c r="R211" i="53" s="1"/>
  <c r="G50" i="53"/>
  <c r="M375" i="67"/>
  <c r="M413" i="67" s="1"/>
  <c r="G279" i="53"/>
  <c r="K472" i="67"/>
  <c r="K510" i="67" s="1"/>
  <c r="H467" i="67"/>
  <c r="H505" i="67" s="1"/>
  <c r="J443" i="67"/>
  <c r="J481" i="67" s="1"/>
  <c r="I385" i="67"/>
  <c r="I423" i="67" s="1"/>
  <c r="H364" i="67"/>
  <c r="H402" i="67" s="1"/>
  <c r="T192" i="53"/>
  <c r="U449" i="59" s="1"/>
  <c r="U605" i="59" s="1"/>
  <c r="O465" i="67"/>
  <c r="O503" i="67" s="1"/>
  <c r="J185" i="53"/>
  <c r="R223" i="53" s="1"/>
  <c r="Q176" i="53"/>
  <c r="T214" i="53" s="1"/>
  <c r="T433" i="59" s="1"/>
  <c r="T589" i="59" s="1"/>
  <c r="Q168" i="53"/>
  <c r="T206" i="53" s="1"/>
  <c r="T425" i="59" s="1"/>
  <c r="T581" i="59" s="1"/>
  <c r="K77" i="53"/>
  <c r="V115" i="53" s="1"/>
  <c r="F252" i="59" s="1"/>
  <c r="J61" i="53"/>
  <c r="R99" i="53" s="1"/>
  <c r="M474" i="67"/>
  <c r="M512" i="67" s="1"/>
  <c r="G194" i="53"/>
  <c r="K469" i="67"/>
  <c r="K507" i="67" s="1"/>
  <c r="H464" i="67"/>
  <c r="H502" i="67" s="1"/>
  <c r="H179" i="53"/>
  <c r="J217" i="53" s="1"/>
  <c r="J172" i="53"/>
  <c r="R210" i="53" s="1"/>
  <c r="M372" i="67"/>
  <c r="M410" i="67" s="1"/>
  <c r="O474" i="67"/>
  <c r="O512" i="67" s="1"/>
  <c r="J194" i="53"/>
  <c r="R232" i="53" s="1"/>
  <c r="M469" i="67"/>
  <c r="M507" i="67" s="1"/>
  <c r="G189" i="53"/>
  <c r="K464" i="67"/>
  <c r="K502" i="67" s="1"/>
  <c r="H457" i="67"/>
  <c r="H495" i="67" s="1"/>
  <c r="I442" i="67"/>
  <c r="I480" i="67" s="1"/>
  <c r="N383" i="67"/>
  <c r="N421" i="67" s="1"/>
  <c r="K360" i="67"/>
  <c r="K398" i="67" s="1"/>
  <c r="I465" i="67"/>
  <c r="I503" i="67" s="1"/>
  <c r="T184" i="53"/>
  <c r="U441" i="59" s="1"/>
  <c r="U597" i="59" s="1"/>
  <c r="J181" i="53"/>
  <c r="R219" i="53" s="1"/>
  <c r="J453" i="67"/>
  <c r="J491" i="67" s="1"/>
  <c r="K388" i="67"/>
  <c r="K426" i="67" s="1"/>
  <c r="O370" i="67"/>
  <c r="O408" i="67" s="1"/>
  <c r="O471" i="67"/>
  <c r="O509" i="67" s="1"/>
  <c r="J191" i="53"/>
  <c r="R229" i="53" s="1"/>
  <c r="M466" i="67"/>
  <c r="M504" i="67" s="1"/>
  <c r="G186" i="53"/>
  <c r="K461" i="67"/>
  <c r="K499" i="67" s="1"/>
  <c r="J456" i="67"/>
  <c r="J494" i="67" s="1"/>
  <c r="I171" i="53"/>
  <c r="L459" i="67"/>
  <c r="L497" i="67" s="1"/>
  <c r="G172" i="53"/>
  <c r="T163" i="53"/>
  <c r="U420" i="59" s="1"/>
  <c r="U576" i="59" s="1"/>
  <c r="L389" i="67"/>
  <c r="L427" i="67" s="1"/>
  <c r="O382" i="67"/>
  <c r="O420" i="67" s="1"/>
  <c r="I183" i="53"/>
  <c r="L458" i="67"/>
  <c r="L496" i="67" s="1"/>
  <c r="L452" i="67"/>
  <c r="L490" i="67" s="1"/>
  <c r="J448" i="67"/>
  <c r="J486" i="67" s="1"/>
  <c r="Q166" i="53"/>
  <c r="T204" i="53" s="1"/>
  <c r="T423" i="59" s="1"/>
  <c r="T579" i="59" s="1"/>
  <c r="J377" i="67"/>
  <c r="J415" i="67" s="1"/>
  <c r="T54" i="53"/>
  <c r="U190" i="59" s="1"/>
  <c r="U346" i="59" s="1"/>
  <c r="J458" i="67"/>
  <c r="J496" i="67" s="1"/>
  <c r="Q174" i="53"/>
  <c r="T212" i="53" s="1"/>
  <c r="T431" i="59" s="1"/>
  <c r="T587" i="59" s="1"/>
  <c r="I166" i="53"/>
  <c r="H162" i="53"/>
  <c r="J200" i="53" s="1"/>
  <c r="L386" i="67"/>
  <c r="L424" i="67" s="1"/>
  <c r="I370" i="67"/>
  <c r="I408" i="67" s="1"/>
  <c r="J457" i="67"/>
  <c r="J495" i="67" s="1"/>
  <c r="L454" i="67"/>
  <c r="L492" i="67" s="1"/>
  <c r="O450" i="67"/>
  <c r="O488" i="67" s="1"/>
  <c r="O390" i="67"/>
  <c r="O428" i="67" s="1"/>
  <c r="J53" i="53"/>
  <c r="R91" i="53" s="1"/>
  <c r="N456" i="67"/>
  <c r="N494" i="67" s="1"/>
  <c r="L453" i="67"/>
  <c r="L491" i="67" s="1"/>
  <c r="I445" i="67"/>
  <c r="I483" i="67" s="1"/>
  <c r="H441" i="67"/>
  <c r="H479" i="67" s="1"/>
  <c r="N388" i="67"/>
  <c r="N426" i="67" s="1"/>
  <c r="T60" i="53"/>
  <c r="U196" i="59" s="1"/>
  <c r="U352" i="59" s="1"/>
  <c r="G73" i="53"/>
  <c r="N378" i="67"/>
  <c r="N416" i="67" s="1"/>
  <c r="K369" i="67"/>
  <c r="K407" i="67" s="1"/>
  <c r="K376" i="67"/>
  <c r="K414" i="67" s="1"/>
  <c r="K366" i="67"/>
  <c r="K404" i="67" s="1"/>
  <c r="N460" i="67"/>
  <c r="N498" i="67" s="1"/>
  <c r="I180" i="53"/>
  <c r="K455" i="67"/>
  <c r="K493" i="67" s="1"/>
  <c r="K392" i="67"/>
  <c r="K430" i="67" s="1"/>
  <c r="O385" i="67"/>
  <c r="O423" i="67" s="1"/>
  <c r="Q65" i="53"/>
  <c r="T103" i="53" s="1"/>
  <c r="T201" i="59" s="1"/>
  <c r="T357" i="59" s="1"/>
  <c r="G56" i="53"/>
  <c r="N459" i="67"/>
  <c r="N497" i="67" s="1"/>
  <c r="I179" i="53"/>
  <c r="J176" i="53"/>
  <c r="R214" i="53" s="1"/>
  <c r="K172" i="53"/>
  <c r="V210" i="53" s="1"/>
  <c r="F468" i="59" s="1"/>
  <c r="J168" i="53"/>
  <c r="R206" i="53" s="1"/>
  <c r="G164" i="53"/>
  <c r="G70" i="53"/>
  <c r="H456" i="67"/>
  <c r="H494" i="67" s="1"/>
  <c r="H175" i="53"/>
  <c r="J213" i="53" s="1"/>
  <c r="G171" i="53"/>
  <c r="T74" i="53"/>
  <c r="U210" i="59" s="1"/>
  <c r="U366" i="59" s="1"/>
  <c r="O380" i="67"/>
  <c r="O418" i="67" s="1"/>
  <c r="K372" i="67"/>
  <c r="K410" i="67" s="1"/>
  <c r="K361" i="67"/>
  <c r="K399" i="67" s="1"/>
  <c r="K460" i="67"/>
  <c r="K498" i="67" s="1"/>
  <c r="K177" i="53"/>
  <c r="V215" i="53" s="1"/>
  <c r="F473" i="59" s="1"/>
  <c r="K451" i="67"/>
  <c r="K489" i="67" s="1"/>
  <c r="J447" i="67"/>
  <c r="J485" i="67" s="1"/>
  <c r="Q165" i="53"/>
  <c r="T203" i="53" s="1"/>
  <c r="T422" i="59" s="1"/>
  <c r="T578" i="59" s="1"/>
  <c r="J72" i="53"/>
  <c r="R110" i="53" s="1"/>
  <c r="O377" i="67"/>
  <c r="O415" i="67" s="1"/>
  <c r="J55" i="53"/>
  <c r="R93" i="53" s="1"/>
  <c r="I52" i="53"/>
  <c r="H460" i="67"/>
  <c r="H498" i="67" s="1"/>
  <c r="G177" i="53"/>
  <c r="Q173" i="53"/>
  <c r="T211" i="53" s="1"/>
  <c r="T430" i="59" s="1"/>
  <c r="T586" i="59" s="1"/>
  <c r="K169" i="53"/>
  <c r="V207" i="53" s="1"/>
  <c r="F465" i="59" s="1"/>
  <c r="I165" i="53"/>
  <c r="N391" i="67"/>
  <c r="N429" i="67" s="1"/>
  <c r="T71" i="53"/>
  <c r="U207" i="59" s="1"/>
  <c r="U363" i="59" s="1"/>
  <c r="H377" i="67"/>
  <c r="H415" i="67" s="1"/>
  <c r="N367" i="67"/>
  <c r="N405" i="67" s="1"/>
  <c r="H459" i="67"/>
  <c r="H497" i="67" s="1"/>
  <c r="O453" i="67"/>
  <c r="O491" i="67" s="1"/>
  <c r="O449" i="67"/>
  <c r="O487" i="67" s="1"/>
  <c r="M445" i="67"/>
  <c r="M483" i="67" s="1"/>
  <c r="I69" i="53"/>
  <c r="H363" i="67"/>
  <c r="H401" i="67" s="1"/>
  <c r="J183" i="53"/>
  <c r="R221" i="53" s="1"/>
  <c r="M458" i="67"/>
  <c r="M496" i="67" s="1"/>
  <c r="G178" i="53"/>
  <c r="M452" i="67"/>
  <c r="M490" i="67" s="1"/>
  <c r="K448" i="67"/>
  <c r="K486" i="67" s="1"/>
  <c r="I444" i="67"/>
  <c r="I482" i="67" s="1"/>
  <c r="G58" i="53"/>
  <c r="J47" i="53"/>
  <c r="R85" i="53" s="1"/>
  <c r="J182" i="53"/>
  <c r="R220" i="53" s="1"/>
  <c r="M457" i="67"/>
  <c r="M495" i="67" s="1"/>
  <c r="J78" i="53"/>
  <c r="R116" i="53" s="1"/>
  <c r="Q71" i="53"/>
  <c r="T109" i="53" s="1"/>
  <c r="T207" i="59" s="1"/>
  <c r="T363" i="59" s="1"/>
  <c r="O376" i="67"/>
  <c r="O414" i="67" s="1"/>
  <c r="T53" i="53"/>
  <c r="U189" i="59" s="1"/>
  <c r="U345" i="59" s="1"/>
  <c r="O363" i="67"/>
  <c r="O401" i="67" s="1"/>
  <c r="G182" i="53"/>
  <c r="K457" i="67"/>
  <c r="K495" i="67" s="1"/>
  <c r="N446" i="67"/>
  <c r="N484" i="67" s="1"/>
  <c r="T77" i="53"/>
  <c r="U213" i="59" s="1"/>
  <c r="U369" i="59" s="1"/>
  <c r="H376" i="67"/>
  <c r="H414" i="67" s="1"/>
  <c r="G181" i="53"/>
  <c r="K456" i="67"/>
  <c r="K494" i="67" s="1"/>
  <c r="K171" i="53"/>
  <c r="V209" i="53" s="1"/>
  <c r="F467" i="59" s="1"/>
  <c r="H167" i="53"/>
  <c r="J205" i="53" s="1"/>
  <c r="G163" i="53"/>
  <c r="J75" i="53"/>
  <c r="R113" i="53" s="1"/>
  <c r="I68" i="53"/>
  <c r="G49" i="53"/>
  <c r="T182" i="53"/>
  <c r="U439" i="59" s="1"/>
  <c r="U595" i="59" s="1"/>
  <c r="N455" i="67"/>
  <c r="N493" i="67" s="1"/>
  <c r="H174" i="53"/>
  <c r="J212" i="53" s="1"/>
  <c r="I73" i="53"/>
  <c r="O369" i="67"/>
  <c r="O407" i="67" s="1"/>
  <c r="I358" i="67"/>
  <c r="T181" i="53"/>
  <c r="U438" i="59" s="1"/>
  <c r="U594" i="59" s="1"/>
  <c r="H454" i="67"/>
  <c r="H492" i="67" s="1"/>
  <c r="K450" i="67"/>
  <c r="K488" i="67" s="1"/>
  <c r="H446" i="67"/>
  <c r="H484" i="67" s="1"/>
  <c r="Q164" i="53"/>
  <c r="T202" i="53" s="1"/>
  <c r="T421" i="59" s="1"/>
  <c r="T577" i="59" s="1"/>
  <c r="K383" i="67"/>
  <c r="K421" i="67" s="1"/>
  <c r="J365" i="67"/>
  <c r="J403" i="67" s="1"/>
  <c r="H362" i="67"/>
  <c r="H400" i="67" s="1"/>
  <c r="O459" i="67"/>
  <c r="O497" i="67" s="1"/>
  <c r="J179" i="53"/>
  <c r="R217" i="53" s="1"/>
  <c r="K176" i="53"/>
  <c r="V214" i="53" s="1"/>
  <c r="F472" i="59" s="1"/>
  <c r="Q172" i="53"/>
  <c r="T210" i="53" s="1"/>
  <c r="T429" i="59" s="1"/>
  <c r="T585" i="59" s="1"/>
  <c r="K168" i="53"/>
  <c r="V206" i="53" s="1"/>
  <c r="F464" i="59" s="1"/>
  <c r="H164" i="53"/>
  <c r="J202" i="53" s="1"/>
  <c r="J70" i="53"/>
  <c r="R108" i="53" s="1"/>
  <c r="I375" i="67"/>
  <c r="I413" i="67" s="1"/>
  <c r="O458" i="67"/>
  <c r="O496" i="67" s="1"/>
  <c r="J178" i="53"/>
  <c r="R216" i="53" s="1"/>
  <c r="O448" i="67"/>
  <c r="O486" i="67" s="1"/>
  <c r="M444" i="67"/>
  <c r="M482" i="67" s="1"/>
  <c r="K440" i="67"/>
  <c r="Q74" i="53"/>
  <c r="T112" i="53" s="1"/>
  <c r="T210" i="59" s="1"/>
  <c r="T366" i="59" s="1"/>
  <c r="J67" i="53"/>
  <c r="R105" i="53" s="1"/>
  <c r="M371" i="67"/>
  <c r="M409" i="67" s="1"/>
  <c r="O360" i="67"/>
  <c r="O398" i="67" s="1"/>
  <c r="M451" i="67"/>
  <c r="M489" i="67" s="1"/>
  <c r="K447" i="67"/>
  <c r="K485" i="67" s="1"/>
  <c r="H443" i="67"/>
  <c r="H481" i="67" s="1"/>
  <c r="I79" i="53"/>
  <c r="I368" i="67"/>
  <c r="I406" i="67" s="1"/>
  <c r="J389" i="67"/>
  <c r="J427" i="67" s="1"/>
  <c r="L382" i="67"/>
  <c r="L420" i="67" s="1"/>
  <c r="G51" i="53"/>
  <c r="G48" i="53"/>
  <c r="I459" i="67"/>
  <c r="I497" i="67" s="1"/>
  <c r="T178" i="53"/>
  <c r="U435" i="59" s="1"/>
  <c r="U591" i="59" s="1"/>
  <c r="N445" i="67"/>
  <c r="N483" i="67" s="1"/>
  <c r="L441" i="67"/>
  <c r="L479" i="67" s="1"/>
  <c r="I76" i="53"/>
  <c r="K69" i="53"/>
  <c r="V107" i="53" s="1"/>
  <c r="F244" i="59" s="1"/>
  <c r="J374" i="67"/>
  <c r="J412" i="67" s="1"/>
  <c r="M363" i="67"/>
  <c r="M401" i="67" s="1"/>
  <c r="I458" i="67"/>
  <c r="I496" i="67" s="1"/>
  <c r="T177" i="53"/>
  <c r="U434" i="59" s="1"/>
  <c r="U590" i="59" s="1"/>
  <c r="J170" i="53"/>
  <c r="R208" i="53" s="1"/>
  <c r="H166" i="53"/>
  <c r="J204" i="53" s="1"/>
  <c r="J386" i="67"/>
  <c r="J424" i="67" s="1"/>
  <c r="K66" i="53"/>
  <c r="V104" i="53" s="1"/>
  <c r="F241" i="59" s="1"/>
  <c r="G46" i="53"/>
  <c r="K182" i="53"/>
  <c r="V220" i="53" s="1"/>
  <c r="F478" i="59" s="1"/>
  <c r="T176" i="53"/>
  <c r="U433" i="59" s="1"/>
  <c r="U589" i="59" s="1"/>
  <c r="G173" i="53"/>
  <c r="T164" i="53"/>
  <c r="U421" i="59" s="1"/>
  <c r="U577" i="59" s="1"/>
  <c r="J384" i="67"/>
  <c r="J422" i="67" s="1"/>
  <c r="T63" i="53"/>
  <c r="U199" i="59" s="1"/>
  <c r="U355" i="59" s="1"/>
  <c r="K181" i="53"/>
  <c r="V219" i="53" s="1"/>
  <c r="F477" i="59" s="1"/>
  <c r="J449" i="67"/>
  <c r="J487" i="67" s="1"/>
  <c r="H445" i="67"/>
  <c r="H483" i="67" s="1"/>
  <c r="M388" i="67"/>
  <c r="M426" i="67" s="1"/>
  <c r="M381" i="67"/>
  <c r="M419" i="67" s="1"/>
  <c r="M373" i="67"/>
  <c r="M411" i="67" s="1"/>
  <c r="O362" i="67"/>
  <c r="O400" i="67" s="1"/>
  <c r="L370" i="67"/>
  <c r="L408" i="67" s="1"/>
  <c r="H181" i="53"/>
  <c r="J219" i="53" s="1"/>
  <c r="H453" i="67"/>
  <c r="H491" i="67" s="1"/>
  <c r="K167" i="53"/>
  <c r="V205" i="53" s="1"/>
  <c r="F463" i="59" s="1"/>
  <c r="H163" i="53"/>
  <c r="J201" i="53" s="1"/>
  <c r="I60" i="53"/>
  <c r="H180" i="53"/>
  <c r="J218" i="53" s="1"/>
  <c r="J455" i="67"/>
  <c r="J493" i="67" s="1"/>
  <c r="M443" i="67"/>
  <c r="M481" i="67" s="1"/>
  <c r="J392" i="67"/>
  <c r="J430" i="67" s="1"/>
  <c r="M385" i="67"/>
  <c r="M423" i="67" s="1"/>
  <c r="J65" i="53"/>
  <c r="R103" i="53" s="1"/>
  <c r="T55" i="53"/>
  <c r="U191" i="59" s="1"/>
  <c r="U347" i="59" s="1"/>
  <c r="Q179" i="53"/>
  <c r="T217" i="53" s="1"/>
  <c r="T436" i="59" s="1"/>
  <c r="T592" i="59" s="1"/>
  <c r="I454" i="67"/>
  <c r="I492" i="67" s="1"/>
  <c r="K446" i="67"/>
  <c r="K484" i="67" s="1"/>
  <c r="H442" i="67"/>
  <c r="H480" i="67" s="1"/>
  <c r="I390" i="67"/>
  <c r="I428" i="67" s="1"/>
  <c r="L383" i="67"/>
  <c r="L421" i="67" s="1"/>
  <c r="M365" i="67"/>
  <c r="M403" i="67" s="1"/>
  <c r="Q178" i="53"/>
  <c r="T216" i="53" s="1"/>
  <c r="T435" i="59" s="1"/>
  <c r="T591" i="59" s="1"/>
  <c r="G175" i="53"/>
  <c r="O387" i="67"/>
  <c r="O425" i="67" s="1"/>
  <c r="H361" i="67"/>
  <c r="H399" i="67" s="1"/>
  <c r="J378" i="67"/>
  <c r="J416" i="67" s="1"/>
  <c r="J56" i="53"/>
  <c r="R94" i="53" s="1"/>
  <c r="Q183" i="53"/>
  <c r="T221" i="53" s="1"/>
  <c r="T440" i="59" s="1"/>
  <c r="T596" i="59" s="1"/>
  <c r="K178" i="53"/>
  <c r="V216" i="53" s="1"/>
  <c r="F474" i="59" s="1"/>
  <c r="L440" i="67"/>
  <c r="I387" i="67"/>
  <c r="I425" i="67" s="1"/>
  <c r="O371" i="67"/>
  <c r="O409" i="67" s="1"/>
  <c r="Q182" i="53"/>
  <c r="T220" i="53" s="1"/>
  <c r="T439" i="59" s="1"/>
  <c r="T595" i="59" s="1"/>
  <c r="J169" i="53"/>
  <c r="R207" i="53" s="1"/>
  <c r="G165" i="53"/>
  <c r="L391" i="67"/>
  <c r="L429" i="67" s="1"/>
  <c r="K64" i="53"/>
  <c r="V102" i="53" s="1"/>
  <c r="F239" i="59" s="1"/>
  <c r="K367" i="67"/>
  <c r="K405" i="67" s="1"/>
  <c r="L390" i="67"/>
  <c r="L428" i="67" s="1"/>
  <c r="J385" i="67"/>
  <c r="J423" i="67" s="1"/>
  <c r="G64" i="53"/>
  <c r="H61" i="53"/>
  <c r="J99" i="53" s="1"/>
  <c r="O455" i="67"/>
  <c r="O493" i="67" s="1"/>
  <c r="J175" i="53"/>
  <c r="R213" i="53" s="1"/>
  <c r="M450" i="67"/>
  <c r="M488" i="67" s="1"/>
  <c r="G170" i="53"/>
  <c r="K445" i="67"/>
  <c r="K483" i="67" s="1"/>
  <c r="H440" i="67"/>
  <c r="N385" i="67"/>
  <c r="N423" i="67" s="1"/>
  <c r="I70" i="53"/>
  <c r="Q64" i="53"/>
  <c r="T102" i="53" s="1"/>
  <c r="T200" i="59" s="1"/>
  <c r="T356" i="59" s="1"/>
  <c r="I374" i="67"/>
  <c r="I412" i="67" s="1"/>
  <c r="H370" i="67"/>
  <c r="H408" i="67" s="1"/>
  <c r="I49" i="53"/>
  <c r="K173" i="53"/>
  <c r="V211" i="53" s="1"/>
  <c r="F469" i="59" s="1"/>
  <c r="H168" i="53"/>
  <c r="J206" i="53" s="1"/>
  <c r="I391" i="67"/>
  <c r="I429" i="67" s="1"/>
  <c r="T75" i="53"/>
  <c r="U211" i="59" s="1"/>
  <c r="U367" i="59" s="1"/>
  <c r="O383" i="67"/>
  <c r="O421" i="67" s="1"/>
  <c r="H62" i="53"/>
  <c r="J100" i="53" s="1"/>
  <c r="Q58" i="53"/>
  <c r="T96" i="53" s="1"/>
  <c r="T194" i="59" s="1"/>
  <c r="T350" i="59" s="1"/>
  <c r="K54" i="53"/>
  <c r="V92" i="53" s="1"/>
  <c r="F229" i="59" s="1"/>
  <c r="H50" i="53"/>
  <c r="J88" i="53" s="1"/>
  <c r="O358" i="67"/>
  <c r="I47" i="53"/>
  <c r="H365" i="67"/>
  <c r="H403" i="67" s="1"/>
  <c r="K370" i="67"/>
  <c r="K408" i="67" s="1"/>
  <c r="G60" i="53"/>
  <c r="Q46" i="53"/>
  <c r="T84" i="53" s="1"/>
  <c r="T182" i="59" s="1"/>
  <c r="T338" i="59" s="1"/>
  <c r="J364" i="67"/>
  <c r="J402" i="67" s="1"/>
  <c r="L369" i="67"/>
  <c r="L407" i="67" s="1"/>
  <c r="I59" i="53"/>
  <c r="N374" i="67"/>
  <c r="N412" i="67" s="1"/>
  <c r="H382" i="67"/>
  <c r="H420" i="67" s="1"/>
  <c r="G47" i="53"/>
  <c r="M362" i="67"/>
  <c r="M400" i="67" s="1"/>
  <c r="J52" i="53"/>
  <c r="R90" i="53" s="1"/>
  <c r="O367" i="67"/>
  <c r="O405" i="67" s="1"/>
  <c r="T59" i="53"/>
  <c r="U195" i="59" s="1"/>
  <c r="U351" i="59" s="1"/>
  <c r="Q78" i="53"/>
  <c r="T116" i="53" s="1"/>
  <c r="T214" i="59" s="1"/>
  <c r="T370" i="59" s="1"/>
  <c r="K73" i="53"/>
  <c r="V111" i="53" s="1"/>
  <c r="F248" i="59" s="1"/>
  <c r="T67" i="53"/>
  <c r="U203" i="59" s="1"/>
  <c r="U359" i="59" s="1"/>
  <c r="K58" i="53"/>
  <c r="V96" i="53" s="1"/>
  <c r="F233" i="59" s="1"/>
  <c r="I54" i="53"/>
  <c r="L358" i="67"/>
  <c r="H173" i="53"/>
  <c r="J211" i="53" s="1"/>
  <c r="I443" i="67"/>
  <c r="I481" i="67" s="1"/>
  <c r="T162" i="53"/>
  <c r="U419" i="59" s="1"/>
  <c r="O388" i="67"/>
  <c r="O426" i="67" s="1"/>
  <c r="J73" i="53"/>
  <c r="R111" i="53" s="1"/>
  <c r="M383" i="67"/>
  <c r="M421" i="67" s="1"/>
  <c r="T64" i="53"/>
  <c r="U200" i="59" s="1"/>
  <c r="U356" i="59" s="1"/>
  <c r="H58" i="53"/>
  <c r="J96" i="53" s="1"/>
  <c r="G54" i="53"/>
  <c r="K358" i="67"/>
  <c r="N387" i="67"/>
  <c r="N425" i="67" s="1"/>
  <c r="I72" i="53"/>
  <c r="M379" i="67"/>
  <c r="M417" i="67" s="1"/>
  <c r="N376" i="67"/>
  <c r="N414" i="67" s="1"/>
  <c r="L373" i="67"/>
  <c r="L411" i="67" s="1"/>
  <c r="J369" i="67"/>
  <c r="J407" i="67" s="1"/>
  <c r="Q52" i="53"/>
  <c r="T90" i="53" s="1"/>
  <c r="T188" i="59" s="1"/>
  <c r="T344" i="59" s="1"/>
  <c r="I455" i="67"/>
  <c r="I493" i="67" s="1"/>
  <c r="T174" i="53"/>
  <c r="U431" i="59" s="1"/>
  <c r="U587" i="59" s="1"/>
  <c r="O447" i="67"/>
  <c r="O485" i="67" s="1"/>
  <c r="J167" i="53"/>
  <c r="R205" i="53" s="1"/>
  <c r="M442" i="67"/>
  <c r="M480" i="67" s="1"/>
  <c r="G162" i="53"/>
  <c r="K390" i="67"/>
  <c r="K428" i="67" s="1"/>
  <c r="H385" i="67"/>
  <c r="H423" i="67" s="1"/>
  <c r="N361" i="67"/>
  <c r="N399" i="67" s="1"/>
  <c r="Q170" i="53"/>
  <c r="T208" i="53" s="1"/>
  <c r="T427" i="59" s="1"/>
  <c r="T583" i="59" s="1"/>
  <c r="K165" i="53"/>
  <c r="V203" i="53" s="1"/>
  <c r="F461" i="59" s="1"/>
  <c r="H78" i="53"/>
  <c r="J116" i="53" s="1"/>
  <c r="I383" i="67"/>
  <c r="I421" i="67" s="1"/>
  <c r="L380" i="67"/>
  <c r="L418" i="67" s="1"/>
  <c r="O374" i="67"/>
  <c r="O412" i="67" s="1"/>
  <c r="O366" i="67"/>
  <c r="O404" i="67" s="1"/>
  <c r="L360" i="67"/>
  <c r="L398" i="67" s="1"/>
  <c r="I50" i="53"/>
  <c r="N365" i="67"/>
  <c r="N403" i="67" s="1"/>
  <c r="H373" i="67"/>
  <c r="H411" i="67" s="1"/>
  <c r="K49" i="53"/>
  <c r="V87" i="53" s="1"/>
  <c r="F224" i="59" s="1"/>
  <c r="Q54" i="53"/>
  <c r="T92" i="53" s="1"/>
  <c r="T190" i="59" s="1"/>
  <c r="T346" i="59" s="1"/>
  <c r="J372" i="67"/>
  <c r="J410" i="67" s="1"/>
  <c r="L377" i="67"/>
  <c r="L415" i="67" s="1"/>
  <c r="I67" i="53"/>
  <c r="N382" i="67"/>
  <c r="N420" i="67" s="1"/>
  <c r="H360" i="67"/>
  <c r="H398" i="67" s="1"/>
  <c r="K365" i="67"/>
  <c r="K403" i="67" s="1"/>
  <c r="G55" i="53"/>
  <c r="M370" i="67"/>
  <c r="M408" i="67" s="1"/>
  <c r="J60" i="53"/>
  <c r="R98" i="53" s="1"/>
  <c r="J388" i="67"/>
  <c r="J426" i="67" s="1"/>
  <c r="Q70" i="53"/>
  <c r="T108" i="53" s="1"/>
  <c r="T206" i="59" s="1"/>
  <c r="T362" i="59" s="1"/>
  <c r="K380" i="67"/>
  <c r="K418" i="67" s="1"/>
  <c r="M374" i="67"/>
  <c r="M412" i="67" s="1"/>
  <c r="N370" i="67"/>
  <c r="N408" i="67" s="1"/>
  <c r="L366" i="67"/>
  <c r="L404" i="67" s="1"/>
  <c r="J362" i="67"/>
  <c r="J400" i="67" s="1"/>
  <c r="Q175" i="53"/>
  <c r="T213" i="53" s="1"/>
  <c r="T432" i="59" s="1"/>
  <c r="T588" i="59" s="1"/>
  <c r="K170" i="53"/>
  <c r="V208" i="53" s="1"/>
  <c r="F466" i="59" s="1"/>
  <c r="H165" i="53"/>
  <c r="J203" i="53" s="1"/>
  <c r="I388" i="67"/>
  <c r="I426" i="67" s="1"/>
  <c r="T72" i="53"/>
  <c r="U208" i="59" s="1"/>
  <c r="U364" i="59" s="1"/>
  <c r="I380" i="67"/>
  <c r="I418" i="67" s="1"/>
  <c r="K377" i="67"/>
  <c r="K415" i="67" s="1"/>
  <c r="L374" i="67"/>
  <c r="L412" i="67" s="1"/>
  <c r="I362" i="67"/>
  <c r="I400" i="67" s="1"/>
  <c r="J79" i="53"/>
  <c r="R117" i="53" s="1"/>
  <c r="M389" i="67"/>
  <c r="M427" i="67" s="1"/>
  <c r="G74" i="53"/>
  <c r="K384" i="67"/>
  <c r="K422" i="67" s="1"/>
  <c r="L372" i="67"/>
  <c r="L410" i="67" s="1"/>
  <c r="J368" i="67"/>
  <c r="J406" i="67" s="1"/>
  <c r="Q51" i="53"/>
  <c r="T89" i="53" s="1"/>
  <c r="T187" i="59" s="1"/>
  <c r="T343" i="59" s="1"/>
  <c r="K47" i="53"/>
  <c r="V85" i="53" s="1"/>
  <c r="F222" i="59" s="1"/>
  <c r="K174" i="53"/>
  <c r="V212" i="53" s="1"/>
  <c r="F470" i="59" s="1"/>
  <c r="H169" i="53"/>
  <c r="J207" i="53" s="1"/>
  <c r="I392" i="67"/>
  <c r="I430" i="67" s="1"/>
  <c r="T76" i="53"/>
  <c r="U212" i="59" s="1"/>
  <c r="U368" i="59" s="1"/>
  <c r="O384" i="67"/>
  <c r="O422" i="67" s="1"/>
  <c r="H69" i="53"/>
  <c r="J107" i="53" s="1"/>
  <c r="I66" i="53"/>
  <c r="K63" i="53"/>
  <c r="V101" i="53" s="1"/>
  <c r="F238" i="59" s="1"/>
  <c r="N364" i="67"/>
  <c r="N402" i="67" s="1"/>
  <c r="N447" i="67"/>
  <c r="N485" i="67" s="1"/>
  <c r="I167" i="53"/>
  <c r="L442" i="67"/>
  <c r="L480" i="67" s="1"/>
  <c r="J390" i="67"/>
  <c r="J428" i="67" s="1"/>
  <c r="Q72" i="53"/>
  <c r="T110" i="53" s="1"/>
  <c r="T208" i="59" s="1"/>
  <c r="T364" i="59" s="1"/>
  <c r="T66" i="53"/>
  <c r="U202" i="59" s="1"/>
  <c r="U358" i="59" s="1"/>
  <c r="M361" i="67"/>
  <c r="M399" i="67" s="1"/>
  <c r="K48" i="53"/>
  <c r="V86" i="53" s="1"/>
  <c r="F223" i="59" s="1"/>
  <c r="Q53" i="53"/>
  <c r="T91" i="53" s="1"/>
  <c r="T189" i="59" s="1"/>
  <c r="T345" i="59" s="1"/>
  <c r="J371" i="67"/>
  <c r="J409" i="67" s="1"/>
  <c r="T49" i="53"/>
  <c r="U185" i="59" s="1"/>
  <c r="U341" i="59" s="1"/>
  <c r="I365" i="67"/>
  <c r="I403" i="67" s="1"/>
  <c r="H60" i="53"/>
  <c r="J98" i="53" s="1"/>
  <c r="K65" i="53"/>
  <c r="V103" i="53" s="1"/>
  <c r="F240" i="59" s="1"/>
  <c r="J358" i="67"/>
  <c r="L363" i="67"/>
  <c r="L401" i="67" s="1"/>
  <c r="I53" i="53"/>
  <c r="N368" i="67"/>
  <c r="N406" i="67" s="1"/>
  <c r="H390" i="67"/>
  <c r="H428" i="67" s="1"/>
  <c r="O379" i="67"/>
  <c r="O417" i="67" s="1"/>
  <c r="N369" i="67"/>
  <c r="N407" i="67" s="1"/>
  <c r="L365" i="67"/>
  <c r="L403" i="67" s="1"/>
  <c r="J361" i="67"/>
  <c r="J399" i="67" s="1"/>
  <c r="N452" i="67"/>
  <c r="N490" i="67" s="1"/>
  <c r="I172" i="53"/>
  <c r="L447" i="67"/>
  <c r="L485" i="67" s="1"/>
  <c r="J442" i="67"/>
  <c r="J480" i="67" s="1"/>
  <c r="Q77" i="53"/>
  <c r="T115" i="53" s="1"/>
  <c r="T213" i="59" s="1"/>
  <c r="T369" i="59" s="1"/>
  <c r="K72" i="53"/>
  <c r="V110" i="53" s="1"/>
  <c r="F247" i="59" s="1"/>
  <c r="M382" i="67"/>
  <c r="M420" i="67" s="1"/>
  <c r="N379" i="67"/>
  <c r="N417" i="67" s="1"/>
  <c r="M369" i="67"/>
  <c r="M407" i="67" s="1"/>
  <c r="I361" i="67"/>
  <c r="I399" i="67" s="1"/>
  <c r="T78" i="53"/>
  <c r="U214" i="59" s="1"/>
  <c r="U370" i="59" s="1"/>
  <c r="O386" i="67"/>
  <c r="O424" i="67" s="1"/>
  <c r="J71" i="53"/>
  <c r="R109" i="53" s="1"/>
  <c r="J381" i="67"/>
  <c r="J419" i="67" s="1"/>
  <c r="K378" i="67"/>
  <c r="K416" i="67" s="1"/>
  <c r="L375" i="67"/>
  <c r="L413" i="67" s="1"/>
  <c r="T50" i="53"/>
  <c r="U186" i="59" s="1"/>
  <c r="U342" i="59" s="1"/>
  <c r="L359" i="67"/>
  <c r="L397" i="67" s="1"/>
  <c r="J454" i="67"/>
  <c r="J492" i="67" s="1"/>
  <c r="Q171" i="53"/>
  <c r="T209" i="53" s="1"/>
  <c r="T428" i="59" s="1"/>
  <c r="T584" i="59" s="1"/>
  <c r="K166" i="53"/>
  <c r="V204" i="53" s="1"/>
  <c r="F462" i="59" s="1"/>
  <c r="H79" i="53"/>
  <c r="J117" i="53" s="1"/>
  <c r="I384" i="67"/>
  <c r="I422" i="67" s="1"/>
  <c r="N381" i="67"/>
  <c r="N419" i="67" s="1"/>
  <c r="T62" i="53"/>
  <c r="U198" i="59" s="1"/>
  <c r="U354" i="59" s="1"/>
  <c r="H372" i="67"/>
  <c r="H410" i="67" s="1"/>
  <c r="Q55" i="53"/>
  <c r="T93" i="53" s="1"/>
  <c r="T191" i="59" s="1"/>
  <c r="T347" i="59" s="1"/>
  <c r="H47" i="53"/>
  <c r="J85" i="53" s="1"/>
  <c r="K452" i="67"/>
  <c r="K490" i="67" s="1"/>
  <c r="H447" i="67"/>
  <c r="H485" i="67" s="1"/>
  <c r="N392" i="67"/>
  <c r="N430" i="67" s="1"/>
  <c r="I77" i="53"/>
  <c r="L387" i="67"/>
  <c r="L425" i="67" s="1"/>
  <c r="I382" i="67"/>
  <c r="I420" i="67" s="1"/>
  <c r="J379" i="67"/>
  <c r="J417" i="67" s="1"/>
  <c r="Q60" i="53"/>
  <c r="T98" i="53" s="1"/>
  <c r="T196" i="59" s="1"/>
  <c r="T352" i="59" s="1"/>
  <c r="K52" i="53"/>
  <c r="V90" i="53" s="1"/>
  <c r="F227" i="59" s="1"/>
  <c r="H48" i="53"/>
  <c r="J86" i="53" s="1"/>
  <c r="T45" i="53"/>
  <c r="U181" i="59" s="1"/>
  <c r="H51" i="53"/>
  <c r="J89" i="53" s="1"/>
  <c r="K56" i="53"/>
  <c r="V94" i="53" s="1"/>
  <c r="F231" i="59" s="1"/>
  <c r="G45" i="53"/>
  <c r="M360" i="67"/>
  <c r="M398" i="67" s="1"/>
  <c r="J50" i="53"/>
  <c r="R88" i="53" s="1"/>
  <c r="O365" i="67"/>
  <c r="O403" i="67" s="1"/>
  <c r="T57" i="53"/>
  <c r="U193" i="59" s="1"/>
  <c r="U349" i="59" s="1"/>
  <c r="I373" i="67"/>
  <c r="I411" i="67" s="1"/>
  <c r="H68" i="53"/>
  <c r="J106" i="53" s="1"/>
  <c r="Q48" i="53"/>
  <c r="T86" i="53" s="1"/>
  <c r="T184" i="59" s="1"/>
  <c r="T340" i="59" s="1"/>
  <c r="J366" i="67"/>
  <c r="J404" i="67" s="1"/>
  <c r="L371" i="67"/>
  <c r="L409" i="67" s="1"/>
  <c r="I61" i="53"/>
  <c r="M392" i="67"/>
  <c r="M430" i="67" s="1"/>
  <c r="G77" i="53"/>
  <c r="K387" i="67"/>
  <c r="K425" i="67" s="1"/>
  <c r="H379" i="67"/>
  <c r="H417" i="67" s="1"/>
  <c r="J376" i="67"/>
  <c r="J414" i="67" s="1"/>
  <c r="I56" i="53"/>
  <c r="H452" i="67"/>
  <c r="H490" i="67" s="1"/>
  <c r="N444" i="67"/>
  <c r="N482" i="67" s="1"/>
  <c r="I164" i="53"/>
  <c r="L392" i="67"/>
  <c r="L430" i="67" s="1"/>
  <c r="J387" i="67"/>
  <c r="J425" i="67" s="1"/>
  <c r="Q66" i="53"/>
  <c r="T104" i="53" s="1"/>
  <c r="T202" i="59" s="1"/>
  <c r="T358" i="59" s="1"/>
  <c r="I376" i="67"/>
  <c r="I414" i="67" s="1"/>
  <c r="K60" i="53"/>
  <c r="V98" i="53" s="1"/>
  <c r="F235" i="59" s="1"/>
  <c r="H56" i="53"/>
  <c r="J94" i="53" s="1"/>
  <c r="T47" i="53"/>
  <c r="U183" i="59" s="1"/>
  <c r="U339" i="59" s="1"/>
  <c r="I386" i="67"/>
  <c r="I424" i="67" s="1"/>
  <c r="T70" i="53"/>
  <c r="U206" i="59" s="1"/>
  <c r="U362" i="59" s="1"/>
  <c r="G68" i="53"/>
  <c r="I65" i="53"/>
  <c r="K62" i="53"/>
  <c r="V100" i="53" s="1"/>
  <c r="F237" i="59" s="1"/>
  <c r="J367" i="67"/>
  <c r="J405" i="67" s="1"/>
  <c r="Q50" i="53"/>
  <c r="T88" i="53" s="1"/>
  <c r="T186" i="59" s="1"/>
  <c r="T342" i="59" s="1"/>
  <c r="I176" i="53"/>
  <c r="L451" i="67"/>
  <c r="L489" i="67" s="1"/>
  <c r="J446" i="67"/>
  <c r="J484" i="67" s="1"/>
  <c r="Q163" i="53"/>
  <c r="T201" i="53" s="1"/>
  <c r="T420" i="59" s="1"/>
  <c r="T576" i="59" s="1"/>
  <c r="K76" i="53"/>
  <c r="V114" i="53" s="1"/>
  <c r="F251" i="59" s="1"/>
  <c r="H71" i="53"/>
  <c r="J109" i="53" s="1"/>
  <c r="Q68" i="53"/>
  <c r="T106" i="53" s="1"/>
  <c r="T204" i="59" s="1"/>
  <c r="T360" i="59" s="1"/>
  <c r="I378" i="67"/>
  <c r="I416" i="67" s="1"/>
  <c r="K375" i="67"/>
  <c r="K413" i="67" s="1"/>
  <c r="N363" i="67"/>
  <c r="N401" i="67" s="1"/>
  <c r="J359" i="67"/>
  <c r="J397" i="67" s="1"/>
  <c r="J174" i="53"/>
  <c r="R212" i="53" s="1"/>
  <c r="M449" i="67"/>
  <c r="M487" i="67" s="1"/>
  <c r="G169" i="53"/>
  <c r="K444" i="67"/>
  <c r="K482" i="67" s="1"/>
  <c r="H392" i="67"/>
  <c r="H430" i="67" s="1"/>
  <c r="N384" i="67"/>
  <c r="N422" i="67" s="1"/>
  <c r="H66" i="53"/>
  <c r="J104" i="53" s="1"/>
  <c r="J63" i="53"/>
  <c r="R101" i="53" s="1"/>
  <c r="J46" i="53"/>
  <c r="R84" i="53" s="1"/>
  <c r="T48" i="53"/>
  <c r="U184" i="59" s="1"/>
  <c r="U340" i="59" s="1"/>
  <c r="I364" i="67"/>
  <c r="I402" i="67" s="1"/>
  <c r="H59" i="53"/>
  <c r="J97" i="53" s="1"/>
  <c r="H358" i="67"/>
  <c r="K363" i="67"/>
  <c r="K401" i="67" s="1"/>
  <c r="G53" i="53"/>
  <c r="M368" i="67"/>
  <c r="M406" i="67" s="1"/>
  <c r="J58" i="53"/>
  <c r="R96" i="53" s="1"/>
  <c r="O373" i="67"/>
  <c r="O411" i="67" s="1"/>
  <c r="T65" i="53"/>
  <c r="U201" i="59" s="1"/>
  <c r="U357" i="59" s="1"/>
  <c r="I381" i="67"/>
  <c r="I419" i="67" s="1"/>
  <c r="H46" i="53"/>
  <c r="J84" i="53" s="1"/>
  <c r="K51" i="53"/>
  <c r="V89" i="53" s="1"/>
  <c r="F226" i="59" s="1"/>
  <c r="Q56" i="53"/>
  <c r="T94" i="53" s="1"/>
  <c r="T192" i="59" s="1"/>
  <c r="T348" i="59" s="1"/>
  <c r="O389" i="67"/>
  <c r="O427" i="67" s="1"/>
  <c r="J74" i="53"/>
  <c r="R112" i="53" s="1"/>
  <c r="M384" i="67"/>
  <c r="M422" i="67" s="1"/>
  <c r="H63" i="53"/>
  <c r="J101" i="53" s="1"/>
  <c r="N372" i="67"/>
  <c r="N410" i="67" s="1"/>
  <c r="L364" i="67"/>
  <c r="L402" i="67" s="1"/>
  <c r="J360" i="67"/>
  <c r="J398" i="67" s="1"/>
  <c r="M454" i="67"/>
  <c r="M492" i="67" s="1"/>
  <c r="G174" i="53"/>
  <c r="K449" i="67"/>
  <c r="K487" i="67" s="1"/>
  <c r="H444" i="67"/>
  <c r="H482" i="67" s="1"/>
  <c r="N389" i="67"/>
  <c r="N427" i="67" s="1"/>
  <c r="I74" i="53"/>
  <c r="L384" i="67"/>
  <c r="L422" i="67" s="1"/>
  <c r="G63" i="53"/>
  <c r="K364" i="67"/>
  <c r="K402" i="67" s="1"/>
  <c r="I360" i="67"/>
  <c r="I398" i="67" s="1"/>
  <c r="K78" i="53"/>
  <c r="V116" i="53" s="1"/>
  <c r="F253" i="59" s="1"/>
  <c r="H73" i="53"/>
  <c r="J111" i="53" s="1"/>
  <c r="N380" i="67"/>
  <c r="N418" i="67" s="1"/>
  <c r="T61" i="53"/>
  <c r="U197" i="59" s="1"/>
  <c r="U353" i="59" s="1"/>
  <c r="N448" i="67"/>
  <c r="N486" i="67" s="1"/>
  <c r="I168" i="53"/>
  <c r="L443" i="67"/>
  <c r="L481" i="67" s="1"/>
  <c r="J391" i="67"/>
  <c r="J429" i="67" s="1"/>
  <c r="Q73" i="53"/>
  <c r="T111" i="53" s="1"/>
  <c r="T209" i="59" s="1"/>
  <c r="T365" i="59" s="1"/>
  <c r="G65" i="53"/>
  <c r="I62" i="53"/>
  <c r="H371" i="67"/>
  <c r="H409" i="67" s="1"/>
  <c r="K50" i="53"/>
  <c r="V88" i="53" s="1"/>
  <c r="F225" i="59" s="1"/>
  <c r="T173" i="53"/>
  <c r="U430" i="59" s="1"/>
  <c r="U586" i="59" s="1"/>
  <c r="O446" i="67"/>
  <c r="O484" i="67" s="1"/>
  <c r="J166" i="53"/>
  <c r="R204" i="53" s="1"/>
  <c r="M441" i="67"/>
  <c r="M479" i="67" s="1"/>
  <c r="G79" i="53"/>
  <c r="K389" i="67"/>
  <c r="K427" i="67" s="1"/>
  <c r="H384" i="67"/>
  <c r="H422" i="67" s="1"/>
  <c r="O378" i="67"/>
  <c r="O416" i="67" s="1"/>
  <c r="Q59" i="53"/>
  <c r="T97" i="53" s="1"/>
  <c r="T195" i="59" s="1"/>
  <c r="T351" i="59" s="1"/>
  <c r="K55" i="53"/>
  <c r="V93" i="53" s="1"/>
  <c r="F230" i="59" s="1"/>
  <c r="J51" i="53"/>
  <c r="R89" i="53" s="1"/>
  <c r="K359" i="67"/>
  <c r="K397" i="67" s="1"/>
  <c r="M359" i="67"/>
  <c r="M397" i="67" s="1"/>
  <c r="J49" i="53"/>
  <c r="R87" i="53" s="1"/>
  <c r="O364" i="67"/>
  <c r="O402" i="67" s="1"/>
  <c r="T56" i="53"/>
  <c r="U192" i="59" s="1"/>
  <c r="U348" i="59" s="1"/>
  <c r="I372" i="67"/>
  <c r="I410" i="67" s="1"/>
  <c r="N358" i="67"/>
  <c r="H366" i="67"/>
  <c r="H404" i="67" s="1"/>
  <c r="K371" i="67"/>
  <c r="K409" i="67" s="1"/>
  <c r="G61" i="53"/>
  <c r="M376" i="67"/>
  <c r="M414" i="67" s="1"/>
  <c r="J66" i="53"/>
  <c r="R104" i="53" s="1"/>
  <c r="O381" i="67"/>
  <c r="O419" i="67" s="1"/>
  <c r="I359" i="67"/>
  <c r="I397" i="67" s="1"/>
  <c r="H54" i="53"/>
  <c r="J92" i="53" s="1"/>
  <c r="K59" i="53"/>
  <c r="V97" i="53" s="1"/>
  <c r="F234" i="59" s="1"/>
  <c r="I389" i="67"/>
  <c r="I427" i="67" s="1"/>
  <c r="T73" i="53"/>
  <c r="U209" i="59" s="1"/>
  <c r="U365" i="59" s="1"/>
  <c r="L381" i="67"/>
  <c r="L419" i="67" s="1"/>
  <c r="O375" i="67"/>
  <c r="O413" i="67" s="1"/>
  <c r="I55" i="53"/>
  <c r="T46" i="53"/>
  <c r="U182" i="59" s="1"/>
  <c r="U338" i="59" s="1"/>
  <c r="O451" i="67"/>
  <c r="O489" i="67" s="1"/>
  <c r="J171" i="53"/>
  <c r="R209" i="53" s="1"/>
  <c r="M446" i="67"/>
  <c r="M484" i="67" s="1"/>
  <c r="G166" i="53"/>
  <c r="K441" i="67"/>
  <c r="K479" i="67" s="1"/>
  <c r="H389" i="67"/>
  <c r="H427" i="67" s="1"/>
  <c r="M378" i="67"/>
  <c r="M416" i="67" s="1"/>
  <c r="N375" i="67"/>
  <c r="N413" i="67" s="1"/>
  <c r="J59" i="53"/>
  <c r="R97" i="53" s="1"/>
  <c r="H55" i="53"/>
  <c r="J93" i="53" s="1"/>
  <c r="Q75" i="53"/>
  <c r="T113" i="53" s="1"/>
  <c r="T211" i="59" s="1"/>
  <c r="T367" i="59" s="1"/>
  <c r="K70" i="53"/>
  <c r="V108" i="53" s="1"/>
  <c r="F245" i="59" s="1"/>
  <c r="Q67" i="53"/>
  <c r="T105" i="53" s="1"/>
  <c r="T203" i="59" s="1"/>
  <c r="T359" i="59" s="1"/>
  <c r="I377" i="67"/>
  <c r="I415" i="67" s="1"/>
  <c r="K374" i="67"/>
  <c r="K412" i="67" s="1"/>
  <c r="J370" i="67"/>
  <c r="J408" i="67" s="1"/>
  <c r="I366" i="67"/>
  <c r="I404" i="67" s="1"/>
  <c r="Q49" i="53"/>
  <c r="T87" i="53" s="1"/>
  <c r="T185" i="59" s="1"/>
  <c r="T341" i="59" s="1"/>
  <c r="K453" i="67"/>
  <c r="K491" i="67" s="1"/>
  <c r="H448" i="67"/>
  <c r="H486" i="67" s="1"/>
  <c r="N440" i="67"/>
  <c r="I78" i="53"/>
  <c r="L388" i="67"/>
  <c r="L426" i="67" s="1"/>
  <c r="J383" i="67"/>
  <c r="J421" i="67" s="1"/>
  <c r="M380" i="67"/>
  <c r="M418" i="67" s="1"/>
  <c r="N377" i="67"/>
  <c r="N415" i="67" s="1"/>
  <c r="N362" i="67"/>
  <c r="N400" i="67" s="1"/>
  <c r="J45" i="53"/>
  <c r="R83" i="53" s="1"/>
  <c r="I446" i="67"/>
  <c r="I484" i="67" s="1"/>
  <c r="T165" i="53"/>
  <c r="U422" i="59" s="1"/>
  <c r="U578" i="59" s="1"/>
  <c r="O391" i="67"/>
  <c r="O429" i="67" s="1"/>
  <c r="J76" i="53"/>
  <c r="R114" i="53" s="1"/>
  <c r="M386" i="67"/>
  <c r="M424" i="67" s="1"/>
  <c r="G71" i="53"/>
  <c r="H378" i="67"/>
  <c r="H416" i="67" s="1"/>
  <c r="J375" i="67"/>
  <c r="J413" i="67" s="1"/>
  <c r="T58" i="53"/>
  <c r="U194" i="59" s="1"/>
  <c r="U350" i="59" s="1"/>
  <c r="H359" i="67"/>
  <c r="H397" i="67" s="1"/>
  <c r="K362" i="67"/>
  <c r="K400" i="67" s="1"/>
  <c r="G52" i="53"/>
  <c r="M367" i="67"/>
  <c r="M405" i="67" s="1"/>
  <c r="J57" i="53"/>
  <c r="R95" i="53" s="1"/>
  <c r="O372" i="67"/>
  <c r="O410" i="67" s="1"/>
  <c r="L361" i="67"/>
  <c r="L399" i="67" s="1"/>
  <c r="I51" i="53"/>
  <c r="N366" i="67"/>
  <c r="N404" i="67" s="1"/>
  <c r="H374" i="67"/>
  <c r="H412" i="67" s="1"/>
  <c r="K379" i="67"/>
  <c r="K417" i="67" s="1"/>
  <c r="G69" i="53"/>
  <c r="O359" i="67"/>
  <c r="O397" i="67" s="1"/>
  <c r="T51" i="53"/>
  <c r="U187" i="59" s="1"/>
  <c r="U343" i="59" s="1"/>
  <c r="I367" i="67"/>
  <c r="I405" i="67" s="1"/>
  <c r="H76" i="53"/>
  <c r="J114" i="53" s="1"/>
  <c r="K68" i="53"/>
  <c r="V106" i="53" s="1"/>
  <c r="F243" i="59" s="1"/>
  <c r="H375" i="67"/>
  <c r="H413" i="67" s="1"/>
  <c r="N371" i="67"/>
  <c r="N409" i="67" s="1"/>
  <c r="L367" i="67"/>
  <c r="L405" i="67" s="1"/>
  <c r="K46" i="53"/>
  <c r="V84" i="53" s="1"/>
  <c r="F221" i="59" s="1"/>
  <c r="I451" i="67"/>
  <c r="I489" i="67" s="1"/>
  <c r="T170" i="53"/>
  <c r="U427" i="59" s="1"/>
  <c r="U583" i="59" s="1"/>
  <c r="O443" i="67"/>
  <c r="O481" i="67" s="1"/>
  <c r="J163" i="53"/>
  <c r="R201" i="53" s="1"/>
  <c r="M391" i="67"/>
  <c r="M429" i="67" s="1"/>
  <c r="G76" i="53"/>
  <c r="K386" i="67"/>
  <c r="K424" i="67" s="1"/>
  <c r="J68" i="53"/>
  <c r="R106" i="53" s="1"/>
  <c r="I363" i="67"/>
  <c r="I401" i="67" s="1"/>
  <c r="I46" i="53"/>
  <c r="Q63" i="53"/>
  <c r="T101" i="53" s="1"/>
  <c r="T199" i="59" s="1"/>
  <c r="T355" i="59" s="1"/>
  <c r="J382" i="67"/>
  <c r="J420" i="67" s="1"/>
  <c r="K75" i="53"/>
  <c r="V113" i="53" s="1"/>
  <c r="F250" i="59" s="1"/>
  <c r="H49" i="53"/>
  <c r="J87" i="53" s="1"/>
  <c r="I58" i="53"/>
  <c r="Q62" i="53"/>
  <c r="T100" i="53" s="1"/>
  <c r="T198" i="59" s="1"/>
  <c r="T354" i="59" s="1"/>
  <c r="I57" i="53"/>
  <c r="Q167" i="53"/>
  <c r="T205" i="53" s="1"/>
  <c r="T424" i="59" s="1"/>
  <c r="T580" i="59" s="1"/>
  <c r="I64" i="53"/>
  <c r="G72" i="53"/>
  <c r="I447" i="67"/>
  <c r="I485" i="67" s="1"/>
  <c r="I175" i="53"/>
  <c r="N373" i="67"/>
  <c r="N411" i="67" s="1"/>
  <c r="K373" i="67"/>
  <c r="K411" i="67" s="1"/>
  <c r="N390" i="67"/>
  <c r="N428" i="67" s="1"/>
  <c r="H53" i="53"/>
  <c r="J91" i="53" s="1"/>
  <c r="K61" i="53"/>
  <c r="V99" i="53" s="1"/>
  <c r="F236" i="59" s="1"/>
  <c r="K53" i="53"/>
  <c r="V91" i="53" s="1"/>
  <c r="F228" i="59" s="1"/>
  <c r="T166" i="53"/>
  <c r="U423" i="59" s="1"/>
  <c r="U579" i="59" s="1"/>
  <c r="L376" i="67"/>
  <c r="L414" i="67" s="1"/>
  <c r="L450" i="67"/>
  <c r="L488" i="67" s="1"/>
  <c r="H70" i="53"/>
  <c r="J108" i="53" s="1"/>
  <c r="K45" i="53"/>
  <c r="V83" i="53" s="1"/>
  <c r="F220" i="59" s="1"/>
  <c r="J380" i="67"/>
  <c r="J418" i="67" s="1"/>
  <c r="I75" i="53"/>
  <c r="K162" i="53"/>
  <c r="V200" i="53" s="1"/>
  <c r="F458" i="59" s="1"/>
  <c r="H57" i="53"/>
  <c r="J95" i="53" s="1"/>
  <c r="H368" i="67"/>
  <c r="H406" i="67" s="1"/>
  <c r="G67" i="53"/>
  <c r="J373" i="67"/>
  <c r="J411" i="67" s="1"/>
  <c r="K67" i="53"/>
  <c r="V105" i="53" s="1"/>
  <c r="F242" i="59" s="1"/>
  <c r="Q45" i="53"/>
  <c r="T83" i="53" s="1"/>
  <c r="T181" i="59" s="1"/>
  <c r="I45" i="53"/>
  <c r="L385" i="67"/>
  <c r="L423" i="67" s="1"/>
  <c r="H387" i="67"/>
  <c r="H425" i="67" s="1"/>
  <c r="O392" i="67"/>
  <c r="O430" i="67" s="1"/>
  <c r="H369" i="67"/>
  <c r="H407" i="67" s="1"/>
  <c r="J445" i="67"/>
  <c r="J483" i="67" s="1"/>
  <c r="H52" i="53"/>
  <c r="J90" i="53" s="1"/>
  <c r="N360" i="67"/>
  <c r="N398" i="67" s="1"/>
  <c r="L455" i="67"/>
  <c r="L493" i="67" s="1"/>
  <c r="H75" i="53"/>
  <c r="J113" i="53" s="1"/>
  <c r="L368" i="67"/>
  <c r="L406" i="67" s="1"/>
  <c r="J77" i="53"/>
  <c r="R115" i="53" s="1"/>
  <c r="Q61" i="53"/>
  <c r="T99" i="53" s="1"/>
  <c r="T197" i="59" s="1"/>
  <c r="T353" i="59" s="1"/>
  <c r="J363" i="67"/>
  <c r="J401" i="67" s="1"/>
  <c r="H67" i="53"/>
  <c r="J105" i="53" s="1"/>
  <c r="J69" i="53"/>
  <c r="R107" i="53" s="1"/>
  <c r="H177" i="53"/>
  <c r="J215" i="53" s="1"/>
  <c r="M387" i="67"/>
  <c r="M425" i="67" s="1"/>
  <c r="I48" i="53"/>
  <c r="Q162" i="53"/>
  <c r="T200" i="53" s="1"/>
  <c r="T419" i="59" s="1"/>
  <c r="Q57" i="53"/>
  <c r="T95" i="53" s="1"/>
  <c r="T193" i="59" s="1"/>
  <c r="T349" i="59" s="1"/>
  <c r="K57" i="53"/>
  <c r="V95" i="53" s="1"/>
  <c r="F232" i="59" s="1"/>
  <c r="J64" i="53"/>
  <c r="R102" i="53" s="1"/>
  <c r="J450" i="67"/>
  <c r="J488" i="67" s="1"/>
  <c r="R200" i="59" l="1"/>
  <c r="R356" i="59" s="1"/>
  <c r="N40" i="67"/>
  <c r="N79" i="67" s="1"/>
  <c r="J434" i="59"/>
  <c r="J590" i="59" s="1"/>
  <c r="J120" i="67"/>
  <c r="J159" i="67" s="1"/>
  <c r="J211" i="59"/>
  <c r="J367" i="59" s="1"/>
  <c r="J51" i="67"/>
  <c r="J90" i="67" s="1"/>
  <c r="G105" i="53"/>
  <c r="H105" i="53"/>
  <c r="I105" i="53"/>
  <c r="L220" i="59"/>
  <c r="F219" i="59"/>
  <c r="N220" i="59"/>
  <c r="H220" i="59"/>
  <c r="G220" i="59"/>
  <c r="I220" i="59"/>
  <c r="O220" i="59"/>
  <c r="K220" i="59"/>
  <c r="M220" i="59"/>
  <c r="J220" i="59"/>
  <c r="I236" i="59"/>
  <c r="I392" i="59" s="1"/>
  <c r="O236" i="59"/>
  <c r="O392" i="59" s="1"/>
  <c r="G236" i="59"/>
  <c r="G392" i="59" s="1"/>
  <c r="M236" i="59"/>
  <c r="M392" i="59" s="1"/>
  <c r="N236" i="59"/>
  <c r="N392" i="59" s="1"/>
  <c r="L236" i="59"/>
  <c r="L392" i="59" s="1"/>
  <c r="H236" i="59"/>
  <c r="H392" i="59" s="1"/>
  <c r="J236" i="59"/>
  <c r="J392" i="59" s="1"/>
  <c r="K236" i="59"/>
  <c r="K392" i="59" s="1"/>
  <c r="Q213" i="53"/>
  <c r="P213" i="53"/>
  <c r="O213" i="53"/>
  <c r="N44" i="67"/>
  <c r="N83" i="67" s="1"/>
  <c r="R204" i="59"/>
  <c r="R360" i="59" s="1"/>
  <c r="K710" i="67"/>
  <c r="P65" i="53"/>
  <c r="S103" i="53" s="1"/>
  <c r="S201" i="59" s="1"/>
  <c r="S357" i="59" s="1"/>
  <c r="S58" i="53"/>
  <c r="M194" i="59" s="1"/>
  <c r="M350" i="59" s="1"/>
  <c r="H149" i="54"/>
  <c r="P163" i="53"/>
  <c r="S201" i="53" s="1"/>
  <c r="S420" i="59" s="1"/>
  <c r="S576" i="59" s="1"/>
  <c r="K737" i="67"/>
  <c r="J148" i="54"/>
  <c r="L57" i="53"/>
  <c r="P370" i="67"/>
  <c r="P408" i="67" s="1"/>
  <c r="F408" i="67" s="1"/>
  <c r="N478" i="67"/>
  <c r="N439" i="67"/>
  <c r="N477" i="67" s="1"/>
  <c r="S73" i="53"/>
  <c r="M209" i="59" s="1"/>
  <c r="M365" i="59" s="1"/>
  <c r="H164" i="54"/>
  <c r="K750" i="67"/>
  <c r="P176" i="53"/>
  <c r="S214" i="53" s="1"/>
  <c r="S433" i="59" s="1"/>
  <c r="S589" i="59" s="1"/>
  <c r="K716" i="67"/>
  <c r="P71" i="53"/>
  <c r="S109" i="53" s="1"/>
  <c r="S207" i="59" s="1"/>
  <c r="S363" i="59" s="1"/>
  <c r="R185" i="59"/>
  <c r="R341" i="59" s="1"/>
  <c r="N25" i="67"/>
  <c r="N64" i="67" s="1"/>
  <c r="G103" i="53"/>
  <c r="I103" i="53"/>
  <c r="H103" i="53"/>
  <c r="P206" i="53"/>
  <c r="Q206" i="53"/>
  <c r="O206" i="53"/>
  <c r="R210" i="59"/>
  <c r="R366" i="59" s="1"/>
  <c r="N50" i="67"/>
  <c r="N89" i="67" s="1"/>
  <c r="J182" i="59"/>
  <c r="J338" i="59" s="1"/>
  <c r="J22" i="67"/>
  <c r="J61" i="67" s="1"/>
  <c r="K691" i="67"/>
  <c r="P46" i="53"/>
  <c r="S84" i="53" s="1"/>
  <c r="S182" i="59" s="1"/>
  <c r="S338" i="59" s="1"/>
  <c r="Q103" i="53"/>
  <c r="O103" i="53"/>
  <c r="P103" i="53"/>
  <c r="J192" i="59"/>
  <c r="J348" i="59" s="1"/>
  <c r="J32" i="67"/>
  <c r="J71" i="67" s="1"/>
  <c r="I115" i="53"/>
  <c r="G115" i="53"/>
  <c r="H115" i="53"/>
  <c r="N26" i="67"/>
  <c r="N65" i="67" s="1"/>
  <c r="R186" i="59"/>
  <c r="R342" i="59" s="1"/>
  <c r="P392" i="67"/>
  <c r="P430" i="67" s="1"/>
  <c r="F430" i="67" s="1"/>
  <c r="L79" i="53"/>
  <c r="J170" i="54"/>
  <c r="P47" i="53"/>
  <c r="S85" i="53" s="1"/>
  <c r="S183" i="59" s="1"/>
  <c r="S339" i="59" s="1"/>
  <c r="K692" i="67"/>
  <c r="S174" i="53"/>
  <c r="M431" i="59" s="1"/>
  <c r="M587" i="59" s="1"/>
  <c r="H306" i="54"/>
  <c r="N470" i="59"/>
  <c r="N626" i="59" s="1"/>
  <c r="L470" i="59"/>
  <c r="L626" i="59" s="1"/>
  <c r="I470" i="59"/>
  <c r="I626" i="59" s="1"/>
  <c r="J470" i="59"/>
  <c r="J626" i="59" s="1"/>
  <c r="M470" i="59"/>
  <c r="M626" i="59" s="1"/>
  <c r="H470" i="59"/>
  <c r="H626" i="59" s="1"/>
  <c r="K470" i="59"/>
  <c r="K626" i="59" s="1"/>
  <c r="O470" i="59"/>
  <c r="O626" i="59" s="1"/>
  <c r="G470" i="59"/>
  <c r="G626" i="59" s="1"/>
  <c r="S68" i="53"/>
  <c r="M204" i="59" s="1"/>
  <c r="M360" i="59" s="1"/>
  <c r="H159" i="54"/>
  <c r="J422" i="59"/>
  <c r="J578" i="59" s="1"/>
  <c r="J108" i="67"/>
  <c r="J147" i="67" s="1"/>
  <c r="H148" i="54"/>
  <c r="S57" i="53"/>
  <c r="M193" i="59" s="1"/>
  <c r="M349" i="59" s="1"/>
  <c r="K357" i="67"/>
  <c r="K395" i="67" s="1"/>
  <c r="K396" i="67"/>
  <c r="N49" i="67"/>
  <c r="N88" i="67" s="1"/>
  <c r="R209" i="59"/>
  <c r="R365" i="59" s="1"/>
  <c r="S49" i="53"/>
  <c r="M185" i="59" s="1"/>
  <c r="M341" i="59" s="1"/>
  <c r="H140" i="54"/>
  <c r="J425" i="59"/>
  <c r="J581" i="59" s="1"/>
  <c r="J111" i="67"/>
  <c r="J150" i="67" s="1"/>
  <c r="J712" i="67"/>
  <c r="O67" i="53"/>
  <c r="K105" i="53" s="1"/>
  <c r="K203" i="59" s="1"/>
  <c r="K359" i="59" s="1"/>
  <c r="I208" i="53"/>
  <c r="H208" i="53"/>
  <c r="G208" i="53"/>
  <c r="G102" i="53"/>
  <c r="I102" i="53"/>
  <c r="H102" i="53"/>
  <c r="H138" i="54"/>
  <c r="S47" i="53"/>
  <c r="M183" i="59" s="1"/>
  <c r="M339" i="59" s="1"/>
  <c r="L474" i="59"/>
  <c r="L630" i="59" s="1"/>
  <c r="H474" i="59"/>
  <c r="H630" i="59" s="1"/>
  <c r="O474" i="59"/>
  <c r="O630" i="59" s="1"/>
  <c r="N474" i="59"/>
  <c r="N630" i="59" s="1"/>
  <c r="K474" i="59"/>
  <c r="K630" i="59" s="1"/>
  <c r="G474" i="59"/>
  <c r="G630" i="59" s="1"/>
  <c r="M474" i="59"/>
  <c r="M630" i="59" s="1"/>
  <c r="J474" i="59"/>
  <c r="J630" i="59" s="1"/>
  <c r="I474" i="59"/>
  <c r="I630" i="59" s="1"/>
  <c r="L62" i="53"/>
  <c r="J153" i="54"/>
  <c r="P375" i="67"/>
  <c r="P413" i="67" s="1"/>
  <c r="F413" i="67" s="1"/>
  <c r="L181" i="53"/>
  <c r="P459" i="67"/>
  <c r="P497" i="67" s="1"/>
  <c r="F497" i="67" s="1"/>
  <c r="J313" i="54"/>
  <c r="I463" i="59"/>
  <c r="I619" i="59" s="1"/>
  <c r="G463" i="59"/>
  <c r="G619" i="59" s="1"/>
  <c r="M463" i="59"/>
  <c r="M619" i="59" s="1"/>
  <c r="J463" i="59"/>
  <c r="J619" i="59" s="1"/>
  <c r="N463" i="59"/>
  <c r="N619" i="59" s="1"/>
  <c r="H463" i="59"/>
  <c r="H619" i="59" s="1"/>
  <c r="O463" i="59"/>
  <c r="O619" i="59" s="1"/>
  <c r="L463" i="59"/>
  <c r="L619" i="59" s="1"/>
  <c r="K463" i="59"/>
  <c r="K619" i="59" s="1"/>
  <c r="M477" i="59"/>
  <c r="M633" i="59" s="1"/>
  <c r="O477" i="59"/>
  <c r="O633" i="59" s="1"/>
  <c r="N477" i="59"/>
  <c r="N633" i="59" s="1"/>
  <c r="G477" i="59"/>
  <c r="G633" i="59" s="1"/>
  <c r="L477" i="59"/>
  <c r="L633" i="59" s="1"/>
  <c r="H477" i="59"/>
  <c r="H633" i="59" s="1"/>
  <c r="J477" i="59"/>
  <c r="J633" i="59" s="1"/>
  <c r="K477" i="59"/>
  <c r="K633" i="59" s="1"/>
  <c r="I477" i="59"/>
  <c r="I633" i="59" s="1"/>
  <c r="J423" i="59"/>
  <c r="J579" i="59" s="1"/>
  <c r="J109" i="67"/>
  <c r="J148" i="67" s="1"/>
  <c r="I244" i="59"/>
  <c r="I400" i="59" s="1"/>
  <c r="O244" i="59"/>
  <c r="O400" i="59" s="1"/>
  <c r="K244" i="59"/>
  <c r="K400" i="59" s="1"/>
  <c r="N244" i="59"/>
  <c r="N400" i="59" s="1"/>
  <c r="M244" i="59"/>
  <c r="M400" i="59" s="1"/>
  <c r="J244" i="59"/>
  <c r="J400" i="59" s="1"/>
  <c r="L244" i="59"/>
  <c r="L400" i="59" s="1"/>
  <c r="G244" i="59"/>
  <c r="G400" i="59" s="1"/>
  <c r="H244" i="59"/>
  <c r="H400" i="59" s="1"/>
  <c r="I86" i="53"/>
  <c r="H86" i="53"/>
  <c r="G86" i="53"/>
  <c r="N43" i="67"/>
  <c r="N82" i="67" s="1"/>
  <c r="R203" i="59"/>
  <c r="R359" i="59" s="1"/>
  <c r="K757" i="67"/>
  <c r="P183" i="53"/>
  <c r="S221" i="53" s="1"/>
  <c r="S440" i="59" s="1"/>
  <c r="S596" i="59" s="1"/>
  <c r="H472" i="59"/>
  <c r="H628" i="59" s="1"/>
  <c r="N472" i="59"/>
  <c r="N628" i="59" s="1"/>
  <c r="G472" i="59"/>
  <c r="G628" i="59" s="1"/>
  <c r="M472" i="59"/>
  <c r="M628" i="59" s="1"/>
  <c r="O472" i="59"/>
  <c r="O628" i="59" s="1"/>
  <c r="I472" i="59"/>
  <c r="I628" i="59" s="1"/>
  <c r="L472" i="59"/>
  <c r="L628" i="59" s="1"/>
  <c r="J472" i="59"/>
  <c r="J628" i="59" s="1"/>
  <c r="K472" i="59"/>
  <c r="K628" i="59" s="1"/>
  <c r="K722" i="67"/>
  <c r="P77" i="53"/>
  <c r="S115" i="53" s="1"/>
  <c r="S213" i="59" s="1"/>
  <c r="S369" i="59" s="1"/>
  <c r="P180" i="53"/>
  <c r="S218" i="53" s="1"/>
  <c r="S437" i="59" s="1"/>
  <c r="S593" i="59" s="1"/>
  <c r="K754" i="67"/>
  <c r="H467" i="59"/>
  <c r="H623" i="59" s="1"/>
  <c r="J467" i="59"/>
  <c r="J623" i="59" s="1"/>
  <c r="K467" i="59"/>
  <c r="K623" i="59" s="1"/>
  <c r="N467" i="59"/>
  <c r="N623" i="59" s="1"/>
  <c r="L467" i="59"/>
  <c r="L623" i="59" s="1"/>
  <c r="G467" i="59"/>
  <c r="G623" i="59" s="1"/>
  <c r="O467" i="59"/>
  <c r="O623" i="59" s="1"/>
  <c r="M467" i="59"/>
  <c r="M623" i="59" s="1"/>
  <c r="I467" i="59"/>
  <c r="I623" i="59" s="1"/>
  <c r="O62" i="53"/>
  <c r="K100" i="53" s="1"/>
  <c r="K198" i="59" s="1"/>
  <c r="K354" i="59" s="1"/>
  <c r="J707" i="67"/>
  <c r="H111" i="53"/>
  <c r="G111" i="53"/>
  <c r="I111" i="53"/>
  <c r="P362" i="67"/>
  <c r="P400" i="67" s="1"/>
  <c r="F400" i="67" s="1"/>
  <c r="L49" i="53"/>
  <c r="J140" i="54"/>
  <c r="J419" i="59"/>
  <c r="J105" i="67"/>
  <c r="O209" i="53"/>
  <c r="Q209" i="53"/>
  <c r="P209" i="53"/>
  <c r="G232" i="53"/>
  <c r="H232" i="53"/>
  <c r="I232" i="53"/>
  <c r="R442" i="59"/>
  <c r="R598" i="59" s="1"/>
  <c r="N128" i="67"/>
  <c r="N167" i="67" s="1"/>
  <c r="J763" i="67"/>
  <c r="O189" i="53"/>
  <c r="K227" i="53" s="1"/>
  <c r="K446" i="59" s="1"/>
  <c r="K602" i="59" s="1"/>
  <c r="R434" i="59"/>
  <c r="R590" i="59" s="1"/>
  <c r="N120" i="67"/>
  <c r="N159" i="67" s="1"/>
  <c r="H560" i="67"/>
  <c r="H521" i="67"/>
  <c r="H559" i="67" s="1"/>
  <c r="N105" i="67"/>
  <c r="R419" i="59"/>
  <c r="O175" i="53"/>
  <c r="K213" i="53" s="1"/>
  <c r="K432" i="59" s="1"/>
  <c r="K588" i="59" s="1"/>
  <c r="J749" i="67"/>
  <c r="J765" i="67"/>
  <c r="O191" i="53"/>
  <c r="K229" i="53" s="1"/>
  <c r="K448" i="59" s="1"/>
  <c r="K604" i="59" s="1"/>
  <c r="G206" i="53"/>
  <c r="H206" i="53"/>
  <c r="I206" i="53"/>
  <c r="I479" i="59"/>
  <c r="I635" i="59" s="1"/>
  <c r="K479" i="59"/>
  <c r="K635" i="59" s="1"/>
  <c r="N479" i="59"/>
  <c r="N635" i="59" s="1"/>
  <c r="H479" i="59"/>
  <c r="H635" i="59" s="1"/>
  <c r="G479" i="59"/>
  <c r="G635" i="59" s="1"/>
  <c r="J479" i="59"/>
  <c r="J635" i="59" s="1"/>
  <c r="O479" i="59"/>
  <c r="O635" i="59" s="1"/>
  <c r="M479" i="59"/>
  <c r="M635" i="59" s="1"/>
  <c r="L479" i="59"/>
  <c r="L635" i="59" s="1"/>
  <c r="H104" i="53"/>
  <c r="I104" i="53"/>
  <c r="G104" i="53"/>
  <c r="L283" i="53"/>
  <c r="P526" i="67"/>
  <c r="P564" i="67" s="1"/>
  <c r="F564" i="67" s="1"/>
  <c r="J456" i="54"/>
  <c r="S48" i="53"/>
  <c r="M184" i="59" s="1"/>
  <c r="M340" i="59" s="1"/>
  <c r="H139" i="54"/>
  <c r="K701" i="59"/>
  <c r="K857" i="59" s="1"/>
  <c r="N701" i="59"/>
  <c r="N857" i="59" s="1"/>
  <c r="I701" i="59"/>
  <c r="I857" i="59" s="1"/>
  <c r="H701" i="59"/>
  <c r="H857" i="59" s="1"/>
  <c r="J701" i="59"/>
  <c r="J857" i="59" s="1"/>
  <c r="L701" i="59"/>
  <c r="L857" i="59" s="1"/>
  <c r="G701" i="59"/>
  <c r="G857" i="59" s="1"/>
  <c r="M701" i="59"/>
  <c r="M857" i="59" s="1"/>
  <c r="O701" i="59"/>
  <c r="O857" i="59" s="1"/>
  <c r="H97" i="53"/>
  <c r="I97" i="53"/>
  <c r="G97" i="53"/>
  <c r="P282" i="53"/>
  <c r="S320" i="53" s="1"/>
  <c r="S660" i="59" s="1"/>
  <c r="S816" i="59" s="1"/>
  <c r="K785" i="67"/>
  <c r="H318" i="53"/>
  <c r="I318" i="53"/>
  <c r="G318" i="53"/>
  <c r="N138" i="67"/>
  <c r="N177" i="67" s="1"/>
  <c r="R452" i="59"/>
  <c r="R608" i="59" s="1"/>
  <c r="P298" i="53"/>
  <c r="S336" i="53" s="1"/>
  <c r="S676" i="59" s="1"/>
  <c r="S832" i="59" s="1"/>
  <c r="K801" i="67"/>
  <c r="G116" i="53"/>
  <c r="I116" i="53"/>
  <c r="H116" i="53"/>
  <c r="Q226" i="53"/>
  <c r="P226" i="53"/>
  <c r="O226" i="53"/>
  <c r="T1051" i="59"/>
  <c r="T1050" i="59" s="1"/>
  <c r="T894" i="59"/>
  <c r="Q334" i="53"/>
  <c r="O334" i="53"/>
  <c r="P334" i="53"/>
  <c r="L162" i="53"/>
  <c r="P440" i="67"/>
  <c r="J294" i="54"/>
  <c r="O703" i="59"/>
  <c r="O859" i="59" s="1"/>
  <c r="J703" i="59"/>
  <c r="J859" i="59" s="1"/>
  <c r="M703" i="59"/>
  <c r="M859" i="59" s="1"/>
  <c r="I703" i="59"/>
  <c r="I859" i="59" s="1"/>
  <c r="K703" i="59"/>
  <c r="K859" i="59" s="1"/>
  <c r="H703" i="59"/>
  <c r="H859" i="59" s="1"/>
  <c r="G703" i="59"/>
  <c r="G859" i="59" s="1"/>
  <c r="L703" i="59"/>
  <c r="L859" i="59" s="1"/>
  <c r="N703" i="59"/>
  <c r="N859" i="59" s="1"/>
  <c r="Q227" i="53"/>
  <c r="O227" i="53"/>
  <c r="P227" i="53"/>
  <c r="R688" i="59"/>
  <c r="R844" i="59" s="1"/>
  <c r="N220" i="67"/>
  <c r="N259" i="67" s="1"/>
  <c r="H475" i="54"/>
  <c r="S302" i="53"/>
  <c r="M680" i="59" s="1"/>
  <c r="M836" i="59" s="1"/>
  <c r="P405" i="53"/>
  <c r="S443" i="53" s="1"/>
  <c r="S904" i="59" s="1"/>
  <c r="S1060" i="59" s="1"/>
  <c r="K837" i="67"/>
  <c r="I320" i="53"/>
  <c r="G320" i="53"/>
  <c r="H320" i="53"/>
  <c r="J465" i="54"/>
  <c r="L292" i="53"/>
  <c r="P535" i="67"/>
  <c r="P573" i="67" s="1"/>
  <c r="F573" i="67" s="1"/>
  <c r="J129" i="67"/>
  <c r="J168" i="67" s="1"/>
  <c r="J443" i="59"/>
  <c r="J599" i="59" s="1"/>
  <c r="J473" i="54"/>
  <c r="P543" i="67"/>
  <c r="P581" i="67" s="1"/>
  <c r="F581" i="67" s="1"/>
  <c r="L300" i="53"/>
  <c r="P318" i="53"/>
  <c r="Q318" i="53"/>
  <c r="O318" i="53"/>
  <c r="R198" i="59"/>
  <c r="R354" i="59" s="1"/>
  <c r="N38" i="67"/>
  <c r="N77" i="67" s="1"/>
  <c r="P472" i="67"/>
  <c r="P510" i="67" s="1"/>
  <c r="F510" i="67" s="1"/>
  <c r="J326" i="54"/>
  <c r="L194" i="53"/>
  <c r="J835" i="67"/>
  <c r="O403" i="53"/>
  <c r="K441" i="53" s="1"/>
  <c r="K902" i="59" s="1"/>
  <c r="K1058" i="59" s="1"/>
  <c r="J218" i="67"/>
  <c r="J257" i="67" s="1"/>
  <c r="J686" i="59"/>
  <c r="J842" i="59" s="1"/>
  <c r="P615" i="67"/>
  <c r="P653" i="67" s="1"/>
  <c r="F653" i="67" s="1"/>
  <c r="L407" i="53"/>
  <c r="J621" i="54"/>
  <c r="I446" i="53"/>
  <c r="G446" i="53"/>
  <c r="H446" i="53"/>
  <c r="Q351" i="53"/>
  <c r="P351" i="53"/>
  <c r="O351" i="53"/>
  <c r="O412" i="53"/>
  <c r="K450" i="53" s="1"/>
  <c r="K911" i="59" s="1"/>
  <c r="K1067" i="59" s="1"/>
  <c r="J844" i="67"/>
  <c r="J635" i="54"/>
  <c r="L421" i="53"/>
  <c r="P629" i="67"/>
  <c r="P667" i="67" s="1"/>
  <c r="F667" i="67" s="1"/>
  <c r="H337" i="53"/>
  <c r="I337" i="53"/>
  <c r="G337" i="53"/>
  <c r="N642" i="67"/>
  <c r="N603" i="67"/>
  <c r="N641" i="67" s="1"/>
  <c r="N705" i="59"/>
  <c r="N861" i="59" s="1"/>
  <c r="M705" i="59"/>
  <c r="M861" i="59" s="1"/>
  <c r="G705" i="59"/>
  <c r="G861" i="59" s="1"/>
  <c r="J705" i="59"/>
  <c r="J861" i="59" s="1"/>
  <c r="I705" i="59"/>
  <c r="I861" i="59" s="1"/>
  <c r="K705" i="59"/>
  <c r="K861" i="59" s="1"/>
  <c r="H705" i="59"/>
  <c r="H861" i="59" s="1"/>
  <c r="L705" i="59"/>
  <c r="L861" i="59" s="1"/>
  <c r="O705" i="59"/>
  <c r="O861" i="59" s="1"/>
  <c r="N716" i="59"/>
  <c r="N872" i="59" s="1"/>
  <c r="G716" i="59"/>
  <c r="G872" i="59" s="1"/>
  <c r="O716" i="59"/>
  <c r="O872" i="59" s="1"/>
  <c r="J716" i="59"/>
  <c r="J872" i="59" s="1"/>
  <c r="H716" i="59"/>
  <c r="H872" i="59" s="1"/>
  <c r="L716" i="59"/>
  <c r="L872" i="59" s="1"/>
  <c r="M716" i="59"/>
  <c r="M872" i="59" s="1"/>
  <c r="K716" i="59"/>
  <c r="K872" i="59" s="1"/>
  <c r="I716" i="59"/>
  <c r="I872" i="59" s="1"/>
  <c r="I450" i="53"/>
  <c r="G450" i="53"/>
  <c r="H450" i="53"/>
  <c r="J282" i="67"/>
  <c r="J321" i="67" s="1"/>
  <c r="J904" i="59"/>
  <c r="J1060" i="59" s="1"/>
  <c r="N199" i="67"/>
  <c r="N238" i="67" s="1"/>
  <c r="R667" i="59"/>
  <c r="R823" i="59" s="1"/>
  <c r="I950" i="59"/>
  <c r="I1106" i="59" s="1"/>
  <c r="L950" i="59"/>
  <c r="L1106" i="59" s="1"/>
  <c r="N950" i="59"/>
  <c r="N1106" i="59" s="1"/>
  <c r="J950" i="59"/>
  <c r="J1106" i="59" s="1"/>
  <c r="H950" i="59"/>
  <c r="H1106" i="59" s="1"/>
  <c r="M950" i="59"/>
  <c r="M1106" i="59" s="1"/>
  <c r="K950" i="59"/>
  <c r="K1106" i="59" s="1"/>
  <c r="O950" i="59"/>
  <c r="O1106" i="59" s="1"/>
  <c r="G950" i="59"/>
  <c r="G1106" i="59" s="1"/>
  <c r="J285" i="67"/>
  <c r="J324" i="67" s="1"/>
  <c r="J907" i="59"/>
  <c r="J1063" i="59" s="1"/>
  <c r="I456" i="53"/>
  <c r="H456" i="53"/>
  <c r="G456" i="53"/>
  <c r="J288" i="67"/>
  <c r="J327" i="67" s="1"/>
  <c r="J910" i="59"/>
  <c r="J1066" i="59" s="1"/>
  <c r="G231" i="53"/>
  <c r="H231" i="53"/>
  <c r="I231" i="53"/>
  <c r="P200" i="53"/>
  <c r="O200" i="53"/>
  <c r="Q200" i="53"/>
  <c r="J828" i="67"/>
  <c r="O396" i="53"/>
  <c r="K434" i="53" s="1"/>
  <c r="K895" i="59" s="1"/>
  <c r="J843" i="67"/>
  <c r="O411" i="53"/>
  <c r="K449" i="53" s="1"/>
  <c r="K910" i="59" s="1"/>
  <c r="K1066" i="59" s="1"/>
  <c r="P288" i="53"/>
  <c r="S326" i="53" s="1"/>
  <c r="S666" i="59" s="1"/>
  <c r="S822" i="59" s="1"/>
  <c r="K791" i="67"/>
  <c r="J802" i="67"/>
  <c r="O299" i="53"/>
  <c r="K337" i="53" s="1"/>
  <c r="K677" i="59" s="1"/>
  <c r="K833" i="59" s="1"/>
  <c r="Q322" i="53"/>
  <c r="P322" i="53"/>
  <c r="O322" i="53"/>
  <c r="S404" i="53"/>
  <c r="M903" i="59" s="1"/>
  <c r="M1059" i="59" s="1"/>
  <c r="H618" i="54"/>
  <c r="H300" i="54"/>
  <c r="S168" i="53"/>
  <c r="M425" i="59" s="1"/>
  <c r="M581" i="59" s="1"/>
  <c r="G435" i="53"/>
  <c r="I435" i="53"/>
  <c r="H435" i="53"/>
  <c r="K769" i="67"/>
  <c r="P195" i="53"/>
  <c r="S233" i="53" s="1"/>
  <c r="S452" i="59" s="1"/>
  <c r="S608" i="59" s="1"/>
  <c r="K857" i="67"/>
  <c r="P425" i="53"/>
  <c r="S463" i="53" s="1"/>
  <c r="S924" i="59" s="1"/>
  <c r="S1080" i="59" s="1"/>
  <c r="P416" i="53"/>
  <c r="S454" i="53" s="1"/>
  <c r="S915" i="59" s="1"/>
  <c r="S1071" i="59" s="1"/>
  <c r="K848" i="67"/>
  <c r="P312" i="53"/>
  <c r="S350" i="53" s="1"/>
  <c r="S690" i="59" s="1"/>
  <c r="S846" i="59" s="1"/>
  <c r="K815" i="67"/>
  <c r="S284" i="53"/>
  <c r="M662" i="59" s="1"/>
  <c r="M818" i="59" s="1"/>
  <c r="H457" i="54"/>
  <c r="K856" i="67"/>
  <c r="P424" i="53"/>
  <c r="S462" i="53" s="1"/>
  <c r="S923" i="59" s="1"/>
  <c r="S1079" i="59" s="1"/>
  <c r="P398" i="53"/>
  <c r="S436" i="53" s="1"/>
  <c r="S897" i="59" s="1"/>
  <c r="S1053" i="59" s="1"/>
  <c r="K830" i="67"/>
  <c r="G451" i="53"/>
  <c r="I451" i="53"/>
  <c r="H451" i="53"/>
  <c r="J216" i="67"/>
  <c r="J255" i="67" s="1"/>
  <c r="J684" i="59"/>
  <c r="J840" i="59" s="1"/>
  <c r="J816" i="67"/>
  <c r="O313" i="53"/>
  <c r="K351" i="53" s="1"/>
  <c r="K691" i="59" s="1"/>
  <c r="K847" i="59" s="1"/>
  <c r="N206" i="67"/>
  <c r="N245" i="67" s="1"/>
  <c r="R674" i="59"/>
  <c r="R830" i="59" s="1"/>
  <c r="Q201" i="53"/>
  <c r="O201" i="53"/>
  <c r="P201" i="53"/>
  <c r="J849" i="67"/>
  <c r="O417" i="53"/>
  <c r="K455" i="53" s="1"/>
  <c r="K916" i="59" s="1"/>
  <c r="K1072" i="59" s="1"/>
  <c r="J203" i="67"/>
  <c r="J242" i="67" s="1"/>
  <c r="J671" i="59"/>
  <c r="J827" i="59" s="1"/>
  <c r="O294" i="53"/>
  <c r="K332" i="53" s="1"/>
  <c r="K672" i="59" s="1"/>
  <c r="K828" i="59" s="1"/>
  <c r="J797" i="67"/>
  <c r="H728" i="59"/>
  <c r="H884" i="59" s="1"/>
  <c r="I728" i="59"/>
  <c r="I884" i="59" s="1"/>
  <c r="N728" i="59"/>
  <c r="N884" i="59" s="1"/>
  <c r="K728" i="59"/>
  <c r="K884" i="59" s="1"/>
  <c r="G728" i="59"/>
  <c r="G884" i="59" s="1"/>
  <c r="M728" i="59"/>
  <c r="M884" i="59" s="1"/>
  <c r="J728" i="59"/>
  <c r="J884" i="59" s="1"/>
  <c r="O728" i="59"/>
  <c r="O884" i="59" s="1"/>
  <c r="L728" i="59"/>
  <c r="L884" i="59" s="1"/>
  <c r="J857" i="67"/>
  <c r="O425" i="53"/>
  <c r="K463" i="53" s="1"/>
  <c r="K924" i="59" s="1"/>
  <c r="K1080" i="59" s="1"/>
  <c r="M939" i="59"/>
  <c r="M1095" i="59" s="1"/>
  <c r="O939" i="59"/>
  <c r="O1095" i="59" s="1"/>
  <c r="I939" i="59"/>
  <c r="I1095" i="59" s="1"/>
  <c r="K939" i="59"/>
  <c r="K1095" i="59" s="1"/>
  <c r="N939" i="59"/>
  <c r="N1095" i="59" s="1"/>
  <c r="J939" i="59"/>
  <c r="J1095" i="59" s="1"/>
  <c r="H939" i="59"/>
  <c r="H1095" i="59" s="1"/>
  <c r="G939" i="59"/>
  <c r="G1095" i="59" s="1"/>
  <c r="L939" i="59"/>
  <c r="L1095" i="59" s="1"/>
  <c r="P187" i="53"/>
  <c r="S225" i="53" s="1"/>
  <c r="S444" i="59" s="1"/>
  <c r="S600" i="59" s="1"/>
  <c r="K761" i="67"/>
  <c r="H340" i="53"/>
  <c r="I340" i="53"/>
  <c r="G340" i="53"/>
  <c r="L485" i="59"/>
  <c r="L641" i="59" s="1"/>
  <c r="K485" i="59"/>
  <c r="K641" i="59" s="1"/>
  <c r="H485" i="59"/>
  <c r="H641" i="59" s="1"/>
  <c r="O485" i="59"/>
  <c r="O641" i="59" s="1"/>
  <c r="G485" i="59"/>
  <c r="G641" i="59" s="1"/>
  <c r="J485" i="59"/>
  <c r="J641" i="59" s="1"/>
  <c r="N485" i="59"/>
  <c r="N641" i="59" s="1"/>
  <c r="M485" i="59"/>
  <c r="M641" i="59" s="1"/>
  <c r="I485" i="59"/>
  <c r="I641" i="59" s="1"/>
  <c r="H957" i="59"/>
  <c r="H1113" i="59" s="1"/>
  <c r="L957" i="59"/>
  <c r="L1113" i="59" s="1"/>
  <c r="N957" i="59"/>
  <c r="N1113" i="59" s="1"/>
  <c r="G957" i="59"/>
  <c r="G1113" i="59" s="1"/>
  <c r="O957" i="59"/>
  <c r="O1113" i="59" s="1"/>
  <c r="M957" i="59"/>
  <c r="M1113" i="59" s="1"/>
  <c r="I957" i="59"/>
  <c r="I1113" i="59" s="1"/>
  <c r="K957" i="59"/>
  <c r="K1113" i="59" s="1"/>
  <c r="J957" i="59"/>
  <c r="J1113" i="59" s="1"/>
  <c r="K965" i="59"/>
  <c r="K1121" i="59" s="1"/>
  <c r="G965" i="59"/>
  <c r="G1121" i="59" s="1"/>
  <c r="N965" i="59"/>
  <c r="N1121" i="59" s="1"/>
  <c r="M965" i="59"/>
  <c r="M1121" i="59" s="1"/>
  <c r="I965" i="59"/>
  <c r="I1121" i="59" s="1"/>
  <c r="L965" i="59"/>
  <c r="L1121" i="59" s="1"/>
  <c r="O965" i="59"/>
  <c r="O1121" i="59" s="1"/>
  <c r="J965" i="59"/>
  <c r="J1121" i="59" s="1"/>
  <c r="H965" i="59"/>
  <c r="H1121" i="59" s="1"/>
  <c r="K835" i="67"/>
  <c r="P403" i="53"/>
  <c r="S441" i="53" s="1"/>
  <c r="S902" i="59" s="1"/>
  <c r="S1058" i="59" s="1"/>
  <c r="J220" i="67"/>
  <c r="J259" i="67" s="1"/>
  <c r="J688" i="59"/>
  <c r="J844" i="59" s="1"/>
  <c r="S281" i="53"/>
  <c r="M659" i="59" s="1"/>
  <c r="M815" i="59" s="1"/>
  <c r="H454" i="54"/>
  <c r="J964" i="59"/>
  <c r="J1120" i="59" s="1"/>
  <c r="O964" i="59"/>
  <c r="O1120" i="59" s="1"/>
  <c r="K964" i="59"/>
  <c r="K1120" i="59" s="1"/>
  <c r="G964" i="59"/>
  <c r="G1120" i="59" s="1"/>
  <c r="L964" i="59"/>
  <c r="L1120" i="59" s="1"/>
  <c r="M964" i="59"/>
  <c r="M1120" i="59" s="1"/>
  <c r="I964" i="59"/>
  <c r="I1120" i="59" s="1"/>
  <c r="N964" i="59"/>
  <c r="N1120" i="59" s="1"/>
  <c r="H964" i="59"/>
  <c r="H1120" i="59" s="1"/>
  <c r="P442" i="53"/>
  <c r="Q442" i="53"/>
  <c r="O442" i="53"/>
  <c r="R421" i="59"/>
  <c r="R577" i="59" s="1"/>
  <c r="N107" i="67"/>
  <c r="N146" i="67" s="1"/>
  <c r="N222" i="67"/>
  <c r="N261" i="67" s="1"/>
  <c r="R690" i="59"/>
  <c r="R846" i="59" s="1"/>
  <c r="H449" i="53"/>
  <c r="I449" i="53"/>
  <c r="G449" i="53"/>
  <c r="J301" i="67"/>
  <c r="J340" i="67" s="1"/>
  <c r="J923" i="59"/>
  <c r="J1079" i="59" s="1"/>
  <c r="P430" i="53"/>
  <c r="S468" i="53" s="1"/>
  <c r="S929" i="59" s="1"/>
  <c r="S1085" i="59" s="1"/>
  <c r="K862" i="67"/>
  <c r="P628" i="67"/>
  <c r="P666" i="67" s="1"/>
  <c r="F666" i="67" s="1"/>
  <c r="L420" i="53"/>
  <c r="J634" i="54"/>
  <c r="K841" i="67"/>
  <c r="P409" i="53"/>
  <c r="S447" i="53" s="1"/>
  <c r="S908" i="59" s="1"/>
  <c r="S1064" i="59" s="1"/>
  <c r="J127" i="67"/>
  <c r="J166" i="67" s="1"/>
  <c r="J441" i="59"/>
  <c r="J597" i="59" s="1"/>
  <c r="H639" i="54"/>
  <c r="S425" i="53"/>
  <c r="M924" i="59" s="1"/>
  <c r="M1080" i="59" s="1"/>
  <c r="J918" i="59"/>
  <c r="J1074" i="59" s="1"/>
  <c r="J296" i="67"/>
  <c r="J335" i="67" s="1"/>
  <c r="G713" i="59"/>
  <c r="G869" i="59" s="1"/>
  <c r="J713" i="59"/>
  <c r="J869" i="59" s="1"/>
  <c r="O713" i="59"/>
  <c r="O869" i="59" s="1"/>
  <c r="N713" i="59"/>
  <c r="N869" i="59" s="1"/>
  <c r="I713" i="59"/>
  <c r="I869" i="59" s="1"/>
  <c r="M713" i="59"/>
  <c r="M869" i="59" s="1"/>
  <c r="L713" i="59"/>
  <c r="L869" i="59" s="1"/>
  <c r="H713" i="59"/>
  <c r="H869" i="59" s="1"/>
  <c r="K713" i="59"/>
  <c r="K869" i="59" s="1"/>
  <c r="O461" i="53"/>
  <c r="P461" i="53"/>
  <c r="Q461" i="53"/>
  <c r="N953" i="59"/>
  <c r="N1109" i="59" s="1"/>
  <c r="K953" i="59"/>
  <c r="K1109" i="59" s="1"/>
  <c r="J953" i="59"/>
  <c r="J1109" i="59" s="1"/>
  <c r="M953" i="59"/>
  <c r="M1109" i="59" s="1"/>
  <c r="L953" i="59"/>
  <c r="L1109" i="59" s="1"/>
  <c r="I953" i="59"/>
  <c r="I1109" i="59" s="1"/>
  <c r="O953" i="59"/>
  <c r="O1109" i="59" s="1"/>
  <c r="G953" i="59"/>
  <c r="G1109" i="59" s="1"/>
  <c r="H953" i="59"/>
  <c r="H1109" i="59" s="1"/>
  <c r="K859" i="67"/>
  <c r="P427" i="53"/>
  <c r="S465" i="53" s="1"/>
  <c r="S926" i="59" s="1"/>
  <c r="S1082" i="59" s="1"/>
  <c r="O408" i="53"/>
  <c r="K446" i="53" s="1"/>
  <c r="K907" i="59" s="1"/>
  <c r="K1063" i="59" s="1"/>
  <c r="J840" i="67"/>
  <c r="P302" i="53"/>
  <c r="S340" i="53" s="1"/>
  <c r="S680" i="59" s="1"/>
  <c r="S836" i="59" s="1"/>
  <c r="K805" i="67"/>
  <c r="J750" i="67"/>
  <c r="O176" i="53"/>
  <c r="K214" i="53" s="1"/>
  <c r="K433" i="59" s="1"/>
  <c r="K589" i="59" s="1"/>
  <c r="H631" i="54"/>
  <c r="S417" i="53"/>
  <c r="M916" i="59" s="1"/>
  <c r="M1072" i="59" s="1"/>
  <c r="L289" i="53"/>
  <c r="J462" i="54"/>
  <c r="P532" i="67"/>
  <c r="P570" i="67" s="1"/>
  <c r="F570" i="67" s="1"/>
  <c r="J681" i="59"/>
  <c r="J837" i="59" s="1"/>
  <c r="J213" i="67"/>
  <c r="J252" i="67" s="1"/>
  <c r="H638" i="54"/>
  <c r="S424" i="53"/>
  <c r="M923" i="59" s="1"/>
  <c r="M1079" i="59" s="1"/>
  <c r="H624" i="54"/>
  <c r="S410" i="53"/>
  <c r="M909" i="59" s="1"/>
  <c r="M1065" i="59" s="1"/>
  <c r="H486" i="54"/>
  <c r="S313" i="53"/>
  <c r="M691" i="59" s="1"/>
  <c r="M847" i="59" s="1"/>
  <c r="P423" i="53"/>
  <c r="S461" i="53" s="1"/>
  <c r="S922" i="59" s="1"/>
  <c r="S1078" i="59" s="1"/>
  <c r="K855" i="67"/>
  <c r="N295" i="67"/>
  <c r="N334" i="67" s="1"/>
  <c r="R917" i="59"/>
  <c r="R1073" i="59" s="1"/>
  <c r="O309" i="53"/>
  <c r="K347" i="53" s="1"/>
  <c r="K687" i="59" s="1"/>
  <c r="K843" i="59" s="1"/>
  <c r="J812" i="67"/>
  <c r="H312" i="54"/>
  <c r="S180" i="53"/>
  <c r="M437" i="59" s="1"/>
  <c r="M593" i="59" s="1"/>
  <c r="H143" i="54"/>
  <c r="S52" i="53"/>
  <c r="M188" i="59" s="1"/>
  <c r="M344" i="59" s="1"/>
  <c r="R205" i="59"/>
  <c r="R361" i="59" s="1"/>
  <c r="N45" i="67"/>
  <c r="N84" i="67" s="1"/>
  <c r="T180" i="59"/>
  <c r="T337" i="59"/>
  <c r="T336" i="59" s="1"/>
  <c r="J206" i="59"/>
  <c r="J362" i="59" s="1"/>
  <c r="J46" i="67"/>
  <c r="J85" i="67" s="1"/>
  <c r="Q95" i="53"/>
  <c r="O95" i="53"/>
  <c r="P95" i="53"/>
  <c r="I243" i="59"/>
  <c r="I399" i="59" s="1"/>
  <c r="G243" i="59"/>
  <c r="G399" i="59" s="1"/>
  <c r="J243" i="59"/>
  <c r="J399" i="59" s="1"/>
  <c r="N243" i="59"/>
  <c r="N399" i="59" s="1"/>
  <c r="L243" i="59"/>
  <c r="L399" i="59" s="1"/>
  <c r="M243" i="59"/>
  <c r="M399" i="59" s="1"/>
  <c r="H243" i="59"/>
  <c r="H399" i="59" s="1"/>
  <c r="O243" i="59"/>
  <c r="O399" i="59" s="1"/>
  <c r="K243" i="59"/>
  <c r="K399" i="59" s="1"/>
  <c r="J701" i="67"/>
  <c r="O56" i="53"/>
  <c r="K94" i="53" s="1"/>
  <c r="K192" i="59" s="1"/>
  <c r="K348" i="59" s="1"/>
  <c r="I90" i="53"/>
  <c r="G90" i="53"/>
  <c r="H90" i="53"/>
  <c r="J739" i="67"/>
  <c r="O165" i="53"/>
  <c r="K203" i="53" s="1"/>
  <c r="K422" i="59" s="1"/>
  <c r="K578" i="59" s="1"/>
  <c r="S50" i="53"/>
  <c r="M186" i="59" s="1"/>
  <c r="M342" i="59" s="1"/>
  <c r="H141" i="54"/>
  <c r="K745" i="67"/>
  <c r="P171" i="53"/>
  <c r="S209" i="53" s="1"/>
  <c r="S428" i="59" s="1"/>
  <c r="S584" i="59" s="1"/>
  <c r="O79" i="53"/>
  <c r="K117" i="53" s="1"/>
  <c r="K215" i="59" s="1"/>
  <c r="K371" i="59" s="1"/>
  <c r="J724" i="67"/>
  <c r="N22" i="67"/>
  <c r="N61" i="67" s="1"/>
  <c r="R182" i="59"/>
  <c r="R338" i="59" s="1"/>
  <c r="R431" i="59"/>
  <c r="R587" i="59" s="1"/>
  <c r="N117" i="67"/>
  <c r="N156" i="67" s="1"/>
  <c r="J207" i="59"/>
  <c r="J363" i="59" s="1"/>
  <c r="J47" i="67"/>
  <c r="J86" i="67" s="1"/>
  <c r="I106" i="53"/>
  <c r="H106" i="53"/>
  <c r="G106" i="53"/>
  <c r="N235" i="59"/>
  <c r="N391" i="59" s="1"/>
  <c r="O235" i="59"/>
  <c r="O391" i="59" s="1"/>
  <c r="G235" i="59"/>
  <c r="G391" i="59" s="1"/>
  <c r="L235" i="59"/>
  <c r="L391" i="59" s="1"/>
  <c r="H235" i="59"/>
  <c r="H391" i="59" s="1"/>
  <c r="J235" i="59"/>
  <c r="J391" i="59" s="1"/>
  <c r="K235" i="59"/>
  <c r="K391" i="59" s="1"/>
  <c r="I235" i="59"/>
  <c r="I391" i="59" s="1"/>
  <c r="M235" i="59"/>
  <c r="M391" i="59" s="1"/>
  <c r="Q202" i="53"/>
  <c r="O202" i="53"/>
  <c r="P202" i="53"/>
  <c r="O94" i="53"/>
  <c r="P94" i="53"/>
  <c r="Q94" i="53"/>
  <c r="J204" i="59"/>
  <c r="J360" i="59" s="1"/>
  <c r="J44" i="67"/>
  <c r="J83" i="67" s="1"/>
  <c r="U337" i="59"/>
  <c r="U336" i="59" s="1"/>
  <c r="U180" i="59"/>
  <c r="P451" i="67"/>
  <c r="P489" i="67" s="1"/>
  <c r="F489" i="67" s="1"/>
  <c r="L173" i="53"/>
  <c r="J305" i="54"/>
  <c r="S60" i="53"/>
  <c r="M196" i="59" s="1"/>
  <c r="M352" i="59" s="1"/>
  <c r="H151" i="54"/>
  <c r="G240" i="59"/>
  <c r="G396" i="59" s="1"/>
  <c r="K240" i="59"/>
  <c r="K396" i="59" s="1"/>
  <c r="M240" i="59"/>
  <c r="M396" i="59" s="1"/>
  <c r="N240" i="59"/>
  <c r="N396" i="59" s="1"/>
  <c r="O240" i="59"/>
  <c r="O396" i="59" s="1"/>
  <c r="H240" i="59"/>
  <c r="H396" i="59" s="1"/>
  <c r="I240" i="59"/>
  <c r="I396" i="59" s="1"/>
  <c r="J240" i="59"/>
  <c r="J396" i="59" s="1"/>
  <c r="L240" i="59"/>
  <c r="L396" i="59" s="1"/>
  <c r="L74" i="53"/>
  <c r="P387" i="67"/>
  <c r="P425" i="67" s="1"/>
  <c r="F425" i="67" s="1"/>
  <c r="J165" i="54"/>
  <c r="P74" i="53"/>
  <c r="S112" i="53" s="1"/>
  <c r="S210" i="59" s="1"/>
  <c r="S366" i="59" s="1"/>
  <c r="K719" i="67"/>
  <c r="I93" i="53"/>
  <c r="G93" i="53"/>
  <c r="H93" i="53"/>
  <c r="J700" i="67"/>
  <c r="O55" i="53"/>
  <c r="K93" i="53" s="1"/>
  <c r="K191" i="59" s="1"/>
  <c r="K347" i="59" s="1"/>
  <c r="I461" i="59"/>
  <c r="I617" i="59" s="1"/>
  <c r="M461" i="59"/>
  <c r="M617" i="59" s="1"/>
  <c r="O461" i="59"/>
  <c r="O617" i="59" s="1"/>
  <c r="L461" i="59"/>
  <c r="L617" i="59" s="1"/>
  <c r="J461" i="59"/>
  <c r="J617" i="59" s="1"/>
  <c r="K461" i="59"/>
  <c r="K617" i="59" s="1"/>
  <c r="N461" i="59"/>
  <c r="N617" i="59" s="1"/>
  <c r="G461" i="59"/>
  <c r="G617" i="59" s="1"/>
  <c r="H461" i="59"/>
  <c r="H617" i="59" s="1"/>
  <c r="R424" i="59"/>
  <c r="R580" i="59" s="1"/>
  <c r="N110" i="67"/>
  <c r="N149" i="67" s="1"/>
  <c r="L357" i="67"/>
  <c r="L395" i="67" s="1"/>
  <c r="L396" i="67"/>
  <c r="I248" i="59"/>
  <c r="I404" i="59" s="1"/>
  <c r="H248" i="59"/>
  <c r="H404" i="59" s="1"/>
  <c r="O248" i="59"/>
  <c r="O404" i="59" s="1"/>
  <c r="G248" i="59"/>
  <c r="G404" i="59" s="1"/>
  <c r="L248" i="59"/>
  <c r="L404" i="59" s="1"/>
  <c r="N248" i="59"/>
  <c r="N404" i="59" s="1"/>
  <c r="M248" i="59"/>
  <c r="M404" i="59" s="1"/>
  <c r="K248" i="59"/>
  <c r="K404" i="59" s="1"/>
  <c r="J248" i="59"/>
  <c r="J404" i="59" s="1"/>
  <c r="I85" i="53"/>
  <c r="H85" i="53"/>
  <c r="G85" i="53"/>
  <c r="O47" i="53"/>
  <c r="K85" i="53" s="1"/>
  <c r="K183" i="59" s="1"/>
  <c r="K339" i="59" s="1"/>
  <c r="J692" i="67"/>
  <c r="F692" i="67" s="1"/>
  <c r="Q108" i="53"/>
  <c r="O108" i="53"/>
  <c r="P108" i="53"/>
  <c r="J437" i="59"/>
  <c r="J593" i="59" s="1"/>
  <c r="J123" i="67"/>
  <c r="J162" i="67" s="1"/>
  <c r="J745" i="67"/>
  <c r="O171" i="53"/>
  <c r="K209" i="53" s="1"/>
  <c r="K428" i="59" s="1"/>
  <c r="K584" i="59" s="1"/>
  <c r="R427" i="59"/>
  <c r="R583" i="59" s="1"/>
  <c r="N113" i="67"/>
  <c r="N152" i="67" s="1"/>
  <c r="O114" i="53"/>
  <c r="Q114" i="53"/>
  <c r="P114" i="53"/>
  <c r="N122" i="67"/>
  <c r="N161" i="67" s="1"/>
  <c r="R436" i="59"/>
  <c r="R592" i="59" s="1"/>
  <c r="H156" i="54"/>
  <c r="S65" i="53"/>
  <c r="M201" i="59" s="1"/>
  <c r="M357" i="59" s="1"/>
  <c r="P175" i="53"/>
  <c r="S213" i="53" s="1"/>
  <c r="S432" i="59" s="1"/>
  <c r="S588" i="59" s="1"/>
  <c r="K749" i="67"/>
  <c r="N125" i="67"/>
  <c r="N164" i="67" s="1"/>
  <c r="R439" i="59"/>
  <c r="R595" i="59" s="1"/>
  <c r="Q90" i="53"/>
  <c r="P90" i="53"/>
  <c r="O90" i="53"/>
  <c r="S162" i="53"/>
  <c r="M419" i="59" s="1"/>
  <c r="H294" i="54"/>
  <c r="I108" i="53"/>
  <c r="G108" i="53"/>
  <c r="H108" i="53"/>
  <c r="G94" i="53"/>
  <c r="I94" i="53"/>
  <c r="H94" i="53"/>
  <c r="P218" i="53"/>
  <c r="Q218" i="53"/>
  <c r="O218" i="53"/>
  <c r="J755" i="67"/>
  <c r="O181" i="53"/>
  <c r="K219" i="53" s="1"/>
  <c r="K438" i="59" s="1"/>
  <c r="K594" i="59" s="1"/>
  <c r="P204" i="53"/>
  <c r="Q204" i="53"/>
  <c r="O204" i="53"/>
  <c r="P359" i="67"/>
  <c r="P397" i="67" s="1"/>
  <c r="F397" i="67" s="1"/>
  <c r="J137" i="54"/>
  <c r="L46" i="53"/>
  <c r="P58" i="53"/>
  <c r="S96" i="53" s="1"/>
  <c r="S194" i="59" s="1"/>
  <c r="S350" i="59" s="1"/>
  <c r="K703" i="67"/>
  <c r="G227" i="53"/>
  <c r="H227" i="53"/>
  <c r="I227" i="53"/>
  <c r="O184" i="53"/>
  <c r="K222" i="53" s="1"/>
  <c r="K441" i="59" s="1"/>
  <c r="K597" i="59" s="1"/>
  <c r="J758" i="67"/>
  <c r="G88" i="53"/>
  <c r="H88" i="53"/>
  <c r="I88" i="53"/>
  <c r="H323" i="54"/>
  <c r="S191" i="53"/>
  <c r="M448" i="59" s="1"/>
  <c r="M604" i="59" s="1"/>
  <c r="J41" i="67"/>
  <c r="J80" i="67" s="1"/>
  <c r="J201" i="59"/>
  <c r="J357" i="59" s="1"/>
  <c r="S75" i="53"/>
  <c r="M211" i="59" s="1"/>
  <c r="M367" i="59" s="1"/>
  <c r="H166" i="54"/>
  <c r="Q233" i="53"/>
  <c r="O233" i="53"/>
  <c r="P233" i="53"/>
  <c r="H325" i="54"/>
  <c r="S193" i="53"/>
  <c r="M450" i="59" s="1"/>
  <c r="M606" i="59" s="1"/>
  <c r="J433" i="59"/>
  <c r="J589" i="59" s="1"/>
  <c r="J119" i="67"/>
  <c r="J158" i="67" s="1"/>
  <c r="J131" i="67"/>
  <c r="J170" i="67" s="1"/>
  <c r="J445" i="59"/>
  <c r="J601" i="59" s="1"/>
  <c r="Q207" i="53"/>
  <c r="O207" i="53"/>
  <c r="P207" i="53"/>
  <c r="K695" i="67"/>
  <c r="P50" i="53"/>
  <c r="S88" i="53" s="1"/>
  <c r="S186" i="59" s="1"/>
  <c r="S342" i="59" s="1"/>
  <c r="J130" i="67"/>
  <c r="J169" i="67" s="1"/>
  <c r="J444" i="59"/>
  <c r="J600" i="59" s="1"/>
  <c r="J665" i="59"/>
  <c r="J821" i="59" s="1"/>
  <c r="J197" i="67"/>
  <c r="J236" i="67" s="1"/>
  <c r="N246" i="59"/>
  <c r="N402" i="59" s="1"/>
  <c r="G246" i="59"/>
  <c r="G402" i="59" s="1"/>
  <c r="H246" i="59"/>
  <c r="H402" i="59" s="1"/>
  <c r="O246" i="59"/>
  <c r="O402" i="59" s="1"/>
  <c r="I246" i="59"/>
  <c r="I402" i="59" s="1"/>
  <c r="J246" i="59"/>
  <c r="J402" i="59" s="1"/>
  <c r="K246" i="59"/>
  <c r="K402" i="59" s="1"/>
  <c r="L246" i="59"/>
  <c r="L402" i="59" s="1"/>
  <c r="M246" i="59"/>
  <c r="M402" i="59" s="1"/>
  <c r="P551" i="67"/>
  <c r="P589" i="67" s="1"/>
  <c r="F589" i="67" s="1"/>
  <c r="J481" i="54"/>
  <c r="L308" i="53"/>
  <c r="Q326" i="53"/>
  <c r="O326" i="53"/>
  <c r="P326" i="53"/>
  <c r="N135" i="67"/>
  <c r="N174" i="67" s="1"/>
  <c r="R449" i="59"/>
  <c r="R605" i="59" s="1"/>
  <c r="L398" i="53"/>
  <c r="P606" i="67"/>
  <c r="P644" i="67" s="1"/>
  <c r="F644" i="67" s="1"/>
  <c r="J612" i="54"/>
  <c r="H214" i="53"/>
  <c r="I214" i="53"/>
  <c r="G214" i="53"/>
  <c r="J767" i="67"/>
  <c r="O193" i="53"/>
  <c r="K231" i="53" s="1"/>
  <c r="K450" i="59" s="1"/>
  <c r="K606" i="59" s="1"/>
  <c r="H335" i="53"/>
  <c r="G335" i="53"/>
  <c r="I335" i="53"/>
  <c r="J795" i="67"/>
  <c r="O292" i="53"/>
  <c r="K330" i="53" s="1"/>
  <c r="K670" i="59" s="1"/>
  <c r="K826" i="59" s="1"/>
  <c r="H223" i="53"/>
  <c r="G223" i="53"/>
  <c r="I223" i="53"/>
  <c r="P527" i="67"/>
  <c r="P565" i="67" s="1"/>
  <c r="F565" i="67" s="1"/>
  <c r="L284" i="53"/>
  <c r="J457" i="54"/>
  <c r="R447" i="59"/>
  <c r="R603" i="59" s="1"/>
  <c r="N133" i="67"/>
  <c r="N172" i="67" s="1"/>
  <c r="N205" i="67"/>
  <c r="N244" i="67" s="1"/>
  <c r="R673" i="59"/>
  <c r="R829" i="59" s="1"/>
  <c r="J677" i="59"/>
  <c r="J833" i="59" s="1"/>
  <c r="J209" i="67"/>
  <c r="J248" i="67" s="1"/>
  <c r="N292" i="67"/>
  <c r="N331" i="67" s="1"/>
  <c r="R914" i="59"/>
  <c r="R1070" i="59" s="1"/>
  <c r="K806" i="67"/>
  <c r="P303" i="53"/>
  <c r="S341" i="53" s="1"/>
  <c r="S681" i="59" s="1"/>
  <c r="S837" i="59" s="1"/>
  <c r="N286" i="67"/>
  <c r="N325" i="67" s="1"/>
  <c r="R908" i="59"/>
  <c r="R1064" i="59" s="1"/>
  <c r="I603" i="67"/>
  <c r="I641" i="67" s="1"/>
  <c r="I642" i="67"/>
  <c r="P471" i="67"/>
  <c r="P509" i="67" s="1"/>
  <c r="F509" i="67" s="1"/>
  <c r="J325" i="54"/>
  <c r="L193" i="53"/>
  <c r="L603" i="67"/>
  <c r="L641" i="67" s="1"/>
  <c r="L642" i="67"/>
  <c r="J804" i="67"/>
  <c r="O301" i="53"/>
  <c r="K339" i="53" s="1"/>
  <c r="K679" i="59" s="1"/>
  <c r="K835" i="59" s="1"/>
  <c r="O288" i="53"/>
  <c r="K326" i="53" s="1"/>
  <c r="K666" i="59" s="1"/>
  <c r="K822" i="59" s="1"/>
  <c r="J791" i="67"/>
  <c r="F791" i="67" s="1"/>
  <c r="N723" i="59"/>
  <c r="N879" i="59" s="1"/>
  <c r="M723" i="59"/>
  <c r="M879" i="59" s="1"/>
  <c r="O723" i="59"/>
  <c r="O879" i="59" s="1"/>
  <c r="I723" i="59"/>
  <c r="I879" i="59" s="1"/>
  <c r="J723" i="59"/>
  <c r="J879" i="59" s="1"/>
  <c r="L723" i="59"/>
  <c r="L879" i="59" s="1"/>
  <c r="H723" i="59"/>
  <c r="H879" i="59" s="1"/>
  <c r="G723" i="59"/>
  <c r="G879" i="59" s="1"/>
  <c r="K723" i="59"/>
  <c r="K879" i="59" s="1"/>
  <c r="N285" i="67"/>
  <c r="N324" i="67" s="1"/>
  <c r="R907" i="59"/>
  <c r="R1063" i="59" s="1"/>
  <c r="N283" i="67"/>
  <c r="N322" i="67" s="1"/>
  <c r="R905" i="59"/>
  <c r="R1061" i="59" s="1"/>
  <c r="H629" i="54"/>
  <c r="S415" i="53"/>
  <c r="M914" i="59" s="1"/>
  <c r="M1070" i="59" s="1"/>
  <c r="J662" i="59"/>
  <c r="J818" i="59" s="1"/>
  <c r="J194" i="67"/>
  <c r="J233" i="67" s="1"/>
  <c r="H447" i="53"/>
  <c r="G447" i="53"/>
  <c r="I447" i="53"/>
  <c r="J319" i="54"/>
  <c r="L187" i="53"/>
  <c r="P465" i="67"/>
  <c r="P503" i="67" s="1"/>
  <c r="F503" i="67" s="1"/>
  <c r="J294" i="67"/>
  <c r="J333" i="67" s="1"/>
  <c r="J916" i="59"/>
  <c r="J1072" i="59" s="1"/>
  <c r="N279" i="67"/>
  <c r="N318" i="67" s="1"/>
  <c r="R901" i="59"/>
  <c r="R1057" i="59" s="1"/>
  <c r="P538" i="67"/>
  <c r="P576" i="67" s="1"/>
  <c r="F576" i="67" s="1"/>
  <c r="L295" i="53"/>
  <c r="J468" i="54"/>
  <c r="H323" i="53"/>
  <c r="G323" i="53"/>
  <c r="I323" i="53"/>
  <c r="P289" i="53"/>
  <c r="S327" i="53" s="1"/>
  <c r="S667" i="59" s="1"/>
  <c r="S823" i="59" s="1"/>
  <c r="K792" i="67"/>
  <c r="K844" i="67"/>
  <c r="P412" i="53"/>
  <c r="S450" i="53" s="1"/>
  <c r="S911" i="59" s="1"/>
  <c r="S1067" i="59" s="1"/>
  <c r="Q211" i="53"/>
  <c r="O211" i="53"/>
  <c r="P211" i="53"/>
  <c r="I439" i="53"/>
  <c r="G439" i="53"/>
  <c r="H439" i="53"/>
  <c r="J629" i="54"/>
  <c r="P623" i="67"/>
  <c r="P661" i="67" s="1"/>
  <c r="F661" i="67" s="1"/>
  <c r="L415" i="53"/>
  <c r="R662" i="59"/>
  <c r="R818" i="59" s="1"/>
  <c r="N194" i="67"/>
  <c r="N233" i="67" s="1"/>
  <c r="J908" i="59"/>
  <c r="J1064" i="59" s="1"/>
  <c r="J286" i="67"/>
  <c r="J325" i="67" s="1"/>
  <c r="G342" i="53"/>
  <c r="I342" i="53"/>
  <c r="H342" i="53"/>
  <c r="P295" i="53"/>
  <c r="S333" i="53" s="1"/>
  <c r="S673" i="59" s="1"/>
  <c r="S829" i="59" s="1"/>
  <c r="K798" i="67"/>
  <c r="I454" i="53"/>
  <c r="G454" i="53"/>
  <c r="H454" i="53"/>
  <c r="P462" i="53"/>
  <c r="O462" i="53"/>
  <c r="Q462" i="53"/>
  <c r="L401" i="53"/>
  <c r="J615" i="54"/>
  <c r="P609" i="67"/>
  <c r="P647" i="67" s="1"/>
  <c r="F647" i="67" s="1"/>
  <c r="P454" i="53"/>
  <c r="O454" i="53"/>
  <c r="Q454" i="53"/>
  <c r="O350" i="53"/>
  <c r="Q350" i="53"/>
  <c r="P350" i="53"/>
  <c r="H320" i="54"/>
  <c r="S188" i="53"/>
  <c r="M445" i="59" s="1"/>
  <c r="M601" i="59" s="1"/>
  <c r="H440" i="53"/>
  <c r="I440" i="53"/>
  <c r="G440" i="53"/>
  <c r="J798" i="67"/>
  <c r="O295" i="53"/>
  <c r="K333" i="53" s="1"/>
  <c r="K673" i="59" s="1"/>
  <c r="K829" i="59" s="1"/>
  <c r="H943" i="59"/>
  <c r="H1099" i="59" s="1"/>
  <c r="J943" i="59"/>
  <c r="J1099" i="59" s="1"/>
  <c r="O943" i="59"/>
  <c r="O1099" i="59" s="1"/>
  <c r="K943" i="59"/>
  <c r="K1099" i="59" s="1"/>
  <c r="M943" i="59"/>
  <c r="M1099" i="59" s="1"/>
  <c r="N943" i="59"/>
  <c r="N1099" i="59" s="1"/>
  <c r="G943" i="59"/>
  <c r="G1099" i="59" s="1"/>
  <c r="I943" i="59"/>
  <c r="I1099" i="59" s="1"/>
  <c r="L943" i="59"/>
  <c r="L1099" i="59" s="1"/>
  <c r="S280" i="53"/>
  <c r="M658" i="59" s="1"/>
  <c r="M814" i="59" s="1"/>
  <c r="H453" i="54"/>
  <c r="G444" i="53"/>
  <c r="H444" i="53"/>
  <c r="I444" i="53"/>
  <c r="Q216" i="53"/>
  <c r="P216" i="53"/>
  <c r="O216" i="53"/>
  <c r="P525" i="67"/>
  <c r="P563" i="67" s="1"/>
  <c r="F563" i="67" s="1"/>
  <c r="J455" i="54"/>
  <c r="L282" i="53"/>
  <c r="P408" i="53"/>
  <c r="S446" i="53" s="1"/>
  <c r="S907" i="59" s="1"/>
  <c r="S1063" i="59" s="1"/>
  <c r="K840" i="67"/>
  <c r="R681" i="59"/>
  <c r="R837" i="59" s="1"/>
  <c r="N213" i="67"/>
  <c r="N252" i="67" s="1"/>
  <c r="J850" i="67"/>
  <c r="O418" i="53"/>
  <c r="K456" i="53" s="1"/>
  <c r="K917" i="59" s="1"/>
  <c r="K1073" i="59" s="1"/>
  <c r="J756" i="67"/>
  <c r="O182" i="53"/>
  <c r="K220" i="53" s="1"/>
  <c r="K439" i="59" s="1"/>
  <c r="K595" i="59" s="1"/>
  <c r="H330" i="53"/>
  <c r="I330" i="53"/>
  <c r="G330" i="53"/>
  <c r="H633" i="54"/>
  <c r="S419" i="53"/>
  <c r="M918" i="59" s="1"/>
  <c r="M1074" i="59" s="1"/>
  <c r="O426" i="53"/>
  <c r="K464" i="53" s="1"/>
  <c r="K925" i="59" s="1"/>
  <c r="K1081" i="59" s="1"/>
  <c r="J858" i="67"/>
  <c r="Q328" i="53"/>
  <c r="O328" i="53"/>
  <c r="P328" i="53"/>
  <c r="K811" i="67"/>
  <c r="P308" i="53"/>
  <c r="S346" i="53" s="1"/>
  <c r="S686" i="59" s="1"/>
  <c r="S842" i="59" s="1"/>
  <c r="J657" i="59"/>
  <c r="J189" i="67"/>
  <c r="H641" i="54"/>
  <c r="S427" i="53"/>
  <c r="M926" i="59" s="1"/>
  <c r="M1082" i="59" s="1"/>
  <c r="Q337" i="53"/>
  <c r="P337" i="53"/>
  <c r="O337" i="53"/>
  <c r="S412" i="53"/>
  <c r="M911" i="59" s="1"/>
  <c r="M1067" i="59" s="1"/>
  <c r="H626" i="54"/>
  <c r="H625" i="54"/>
  <c r="S411" i="53"/>
  <c r="M910" i="59" s="1"/>
  <c r="M1066" i="59" s="1"/>
  <c r="R685" i="59"/>
  <c r="R841" i="59" s="1"/>
  <c r="N217" i="67"/>
  <c r="N256" i="67" s="1"/>
  <c r="H949" i="59"/>
  <c r="H1105" i="59" s="1"/>
  <c r="K949" i="59"/>
  <c r="K1105" i="59" s="1"/>
  <c r="I949" i="59"/>
  <c r="I1105" i="59" s="1"/>
  <c r="M949" i="59"/>
  <c r="M1105" i="59" s="1"/>
  <c r="N949" i="59"/>
  <c r="N1105" i="59" s="1"/>
  <c r="G949" i="59"/>
  <c r="G1105" i="59" s="1"/>
  <c r="J949" i="59"/>
  <c r="J1105" i="59" s="1"/>
  <c r="L949" i="59"/>
  <c r="L1105" i="59" s="1"/>
  <c r="O949" i="59"/>
  <c r="O1105" i="59" s="1"/>
  <c r="L419" i="53"/>
  <c r="J633" i="54"/>
  <c r="P627" i="67"/>
  <c r="P665" i="67" s="1"/>
  <c r="F665" i="67" s="1"/>
  <c r="J115" i="67"/>
  <c r="J154" i="67" s="1"/>
  <c r="J429" i="59"/>
  <c r="J585" i="59" s="1"/>
  <c r="P336" i="53"/>
  <c r="O336" i="53"/>
  <c r="Q336" i="53"/>
  <c r="I347" i="53"/>
  <c r="G347" i="53"/>
  <c r="H347" i="53"/>
  <c r="P348" i="53"/>
  <c r="O348" i="53"/>
  <c r="Q348" i="53"/>
  <c r="U813" i="59"/>
  <c r="U812" i="59" s="1"/>
  <c r="U656" i="59"/>
  <c r="H640" i="54"/>
  <c r="S426" i="53"/>
  <c r="M925" i="59" s="1"/>
  <c r="M1081" i="59" s="1"/>
  <c r="L945" i="59"/>
  <c r="L1101" i="59" s="1"/>
  <c r="G945" i="59"/>
  <c r="G1101" i="59" s="1"/>
  <c r="N945" i="59"/>
  <c r="N1101" i="59" s="1"/>
  <c r="I945" i="59"/>
  <c r="I1101" i="59" s="1"/>
  <c r="J945" i="59"/>
  <c r="J1101" i="59" s="1"/>
  <c r="M945" i="59"/>
  <c r="M1101" i="59" s="1"/>
  <c r="H945" i="59"/>
  <c r="H1101" i="59" s="1"/>
  <c r="O945" i="59"/>
  <c r="O1101" i="59" s="1"/>
  <c r="K945" i="59"/>
  <c r="K1101" i="59" s="1"/>
  <c r="J213" i="59"/>
  <c r="J369" i="59" s="1"/>
  <c r="J53" i="67"/>
  <c r="J92" i="67" s="1"/>
  <c r="G463" i="53"/>
  <c r="I463" i="53"/>
  <c r="H463" i="53"/>
  <c r="Q456" i="53"/>
  <c r="P456" i="53"/>
  <c r="O456" i="53"/>
  <c r="J202" i="67"/>
  <c r="J241" i="67" s="1"/>
  <c r="J670" i="59"/>
  <c r="J826" i="59" s="1"/>
  <c r="K854" i="67"/>
  <c r="P422" i="53"/>
  <c r="S460" i="53" s="1"/>
  <c r="S921" i="59" s="1"/>
  <c r="S1077" i="59" s="1"/>
  <c r="P451" i="53"/>
  <c r="O451" i="53"/>
  <c r="Q451" i="53"/>
  <c r="J895" i="59"/>
  <c r="J273" i="67"/>
  <c r="R679" i="59"/>
  <c r="R835" i="59" s="1"/>
  <c r="N211" i="67"/>
  <c r="N250" i="67" s="1"/>
  <c r="K697" i="59"/>
  <c r="K853" i="59" s="1"/>
  <c r="H697" i="59"/>
  <c r="H853" i="59" s="1"/>
  <c r="L697" i="59"/>
  <c r="L853" i="59" s="1"/>
  <c r="N697" i="59"/>
  <c r="N853" i="59" s="1"/>
  <c r="I697" i="59"/>
  <c r="I853" i="59" s="1"/>
  <c r="M697" i="59"/>
  <c r="M853" i="59" s="1"/>
  <c r="G697" i="59"/>
  <c r="G853" i="59" s="1"/>
  <c r="O697" i="59"/>
  <c r="O853" i="59" s="1"/>
  <c r="J697" i="59"/>
  <c r="J853" i="59" s="1"/>
  <c r="P429" i="53"/>
  <c r="S467" i="53" s="1"/>
  <c r="S928" i="59" s="1"/>
  <c r="S1084" i="59" s="1"/>
  <c r="K861" i="67"/>
  <c r="N301" i="67"/>
  <c r="N340" i="67" s="1"/>
  <c r="R923" i="59"/>
  <c r="R1079" i="59" s="1"/>
  <c r="G457" i="53"/>
  <c r="H457" i="53"/>
  <c r="I457" i="53"/>
  <c r="O447" i="53"/>
  <c r="Q447" i="53"/>
  <c r="P447" i="53"/>
  <c r="J484" i="54"/>
  <c r="L311" i="53"/>
  <c r="P554" i="67"/>
  <c r="P592" i="67" s="1"/>
  <c r="F592" i="67" s="1"/>
  <c r="O712" i="59"/>
  <c r="O868" i="59" s="1"/>
  <c r="I712" i="59"/>
  <c r="I868" i="59" s="1"/>
  <c r="M712" i="59"/>
  <c r="M868" i="59" s="1"/>
  <c r="L712" i="59"/>
  <c r="L868" i="59" s="1"/>
  <c r="J712" i="59"/>
  <c r="J868" i="59" s="1"/>
  <c r="H712" i="59"/>
  <c r="H868" i="59" s="1"/>
  <c r="G712" i="59"/>
  <c r="G868" i="59" s="1"/>
  <c r="N712" i="59"/>
  <c r="N868" i="59" s="1"/>
  <c r="K712" i="59"/>
  <c r="K868" i="59" s="1"/>
  <c r="J484" i="59"/>
  <c r="J640" i="59" s="1"/>
  <c r="I484" i="59"/>
  <c r="I640" i="59" s="1"/>
  <c r="O484" i="59"/>
  <c r="O640" i="59" s="1"/>
  <c r="N484" i="59"/>
  <c r="N640" i="59" s="1"/>
  <c r="H484" i="59"/>
  <c r="H640" i="59" s="1"/>
  <c r="M484" i="59"/>
  <c r="M640" i="59" s="1"/>
  <c r="G484" i="59"/>
  <c r="G640" i="59" s="1"/>
  <c r="K484" i="59"/>
  <c r="K640" i="59" s="1"/>
  <c r="L484" i="59"/>
  <c r="L640" i="59" s="1"/>
  <c r="K724" i="59"/>
  <c r="K880" i="59" s="1"/>
  <c r="N724" i="59"/>
  <c r="N880" i="59" s="1"/>
  <c r="H724" i="59"/>
  <c r="H880" i="59" s="1"/>
  <c r="M724" i="59"/>
  <c r="M880" i="59" s="1"/>
  <c r="G724" i="59"/>
  <c r="G880" i="59" s="1"/>
  <c r="O724" i="59"/>
  <c r="O880" i="59" s="1"/>
  <c r="J724" i="59"/>
  <c r="J880" i="59" s="1"/>
  <c r="L724" i="59"/>
  <c r="L880" i="59" s="1"/>
  <c r="I724" i="59"/>
  <c r="I880" i="59" s="1"/>
  <c r="H461" i="54"/>
  <c r="S288" i="53"/>
  <c r="M666" i="59" s="1"/>
  <c r="M822" i="59" s="1"/>
  <c r="H232" i="59"/>
  <c r="H388" i="59" s="1"/>
  <c r="J232" i="59"/>
  <c r="J388" i="59" s="1"/>
  <c r="I232" i="59"/>
  <c r="I388" i="59" s="1"/>
  <c r="G232" i="59"/>
  <c r="G388" i="59" s="1"/>
  <c r="K232" i="59"/>
  <c r="K388" i="59" s="1"/>
  <c r="L232" i="59"/>
  <c r="L388" i="59" s="1"/>
  <c r="M232" i="59"/>
  <c r="M388" i="59" s="1"/>
  <c r="N232" i="59"/>
  <c r="N388" i="59" s="1"/>
  <c r="O232" i="59"/>
  <c r="O388" i="59" s="1"/>
  <c r="O66" i="53"/>
  <c r="K104" i="53" s="1"/>
  <c r="K202" i="59" s="1"/>
  <c r="K358" i="59" s="1"/>
  <c r="J711" i="67"/>
  <c r="L164" i="53"/>
  <c r="P442" i="67"/>
  <c r="P480" i="67" s="1"/>
  <c r="F480" i="67" s="1"/>
  <c r="J296" i="54"/>
  <c r="J242" i="59"/>
  <c r="J398" i="59" s="1"/>
  <c r="M242" i="59"/>
  <c r="M398" i="59" s="1"/>
  <c r="O242" i="59"/>
  <c r="O398" i="59" s="1"/>
  <c r="H242" i="59"/>
  <c r="H398" i="59" s="1"/>
  <c r="I242" i="59"/>
  <c r="I398" i="59" s="1"/>
  <c r="G242" i="59"/>
  <c r="G398" i="59" s="1"/>
  <c r="L242" i="59"/>
  <c r="L398" i="59" s="1"/>
  <c r="N242" i="59"/>
  <c r="N398" i="59" s="1"/>
  <c r="K242" i="59"/>
  <c r="K398" i="59" s="1"/>
  <c r="J33" i="67"/>
  <c r="J72" i="67" s="1"/>
  <c r="J193" i="59"/>
  <c r="J349" i="59" s="1"/>
  <c r="J29" i="67"/>
  <c r="J68" i="67" s="1"/>
  <c r="J189" i="59"/>
  <c r="J345" i="59" s="1"/>
  <c r="O84" i="53"/>
  <c r="P84" i="53"/>
  <c r="Q84" i="53"/>
  <c r="P49" i="53"/>
  <c r="S87" i="53" s="1"/>
  <c r="S185" i="59" s="1"/>
  <c r="S341" i="59" s="1"/>
  <c r="K694" i="67"/>
  <c r="S167" i="53"/>
  <c r="M424" i="59" s="1"/>
  <c r="M580" i="59" s="1"/>
  <c r="H299" i="54"/>
  <c r="J191" i="59"/>
  <c r="J347" i="59" s="1"/>
  <c r="J31" i="67"/>
  <c r="J70" i="67" s="1"/>
  <c r="O48" i="53"/>
  <c r="K86" i="53" s="1"/>
  <c r="K184" i="59" s="1"/>
  <c r="K340" i="59" s="1"/>
  <c r="J693" i="67"/>
  <c r="O173" i="53"/>
  <c r="K211" i="53" s="1"/>
  <c r="K430" i="59" s="1"/>
  <c r="K586" i="59" s="1"/>
  <c r="J747" i="67"/>
  <c r="S163" i="53"/>
  <c r="M420" i="59" s="1"/>
  <c r="M576" i="59" s="1"/>
  <c r="H295" i="54"/>
  <c r="K724" i="67"/>
  <c r="P79" i="53"/>
  <c r="S117" i="53" s="1"/>
  <c r="S215" i="59" s="1"/>
  <c r="S371" i="59" s="1"/>
  <c r="H396" i="67"/>
  <c r="H357" i="67"/>
  <c r="H395" i="67" s="1"/>
  <c r="O74" i="53"/>
  <c r="K112" i="53" s="1"/>
  <c r="K210" i="59" s="1"/>
  <c r="K366" i="59" s="1"/>
  <c r="J719" i="67"/>
  <c r="F719" i="67" s="1"/>
  <c r="P214" i="53"/>
  <c r="O214" i="53"/>
  <c r="Q214" i="53"/>
  <c r="O60" i="53"/>
  <c r="K98" i="53" s="1"/>
  <c r="K196" i="59" s="1"/>
  <c r="K352" i="59" s="1"/>
  <c r="J705" i="67"/>
  <c r="P99" i="53"/>
  <c r="O99" i="53"/>
  <c r="Q99" i="53"/>
  <c r="G83" i="53"/>
  <c r="I83" i="53"/>
  <c r="H83" i="53"/>
  <c r="J184" i="59"/>
  <c r="J340" i="59" s="1"/>
  <c r="J24" i="67"/>
  <c r="J63" i="67" s="1"/>
  <c r="J183" i="59"/>
  <c r="J339" i="59" s="1"/>
  <c r="J23" i="67"/>
  <c r="J62" i="67" s="1"/>
  <c r="N47" i="67"/>
  <c r="N86" i="67" s="1"/>
  <c r="R207" i="59"/>
  <c r="R363" i="59" s="1"/>
  <c r="O58" i="53"/>
  <c r="K96" i="53" s="1"/>
  <c r="K194" i="59" s="1"/>
  <c r="K350" i="59" s="1"/>
  <c r="J703" i="67"/>
  <c r="M222" i="59"/>
  <c r="M378" i="59" s="1"/>
  <c r="L222" i="59"/>
  <c r="L378" i="59" s="1"/>
  <c r="K222" i="59"/>
  <c r="K378" i="59" s="1"/>
  <c r="H222" i="59"/>
  <c r="H378" i="59" s="1"/>
  <c r="G222" i="59"/>
  <c r="G378" i="59" s="1"/>
  <c r="J222" i="59"/>
  <c r="J378" i="59" s="1"/>
  <c r="O222" i="59"/>
  <c r="O378" i="59" s="1"/>
  <c r="N222" i="59"/>
  <c r="N378" i="59" s="1"/>
  <c r="I222" i="59"/>
  <c r="I378" i="59" s="1"/>
  <c r="G112" i="53"/>
  <c r="H112" i="53"/>
  <c r="I112" i="53"/>
  <c r="N466" i="59"/>
  <c r="N622" i="59" s="1"/>
  <c r="K466" i="59"/>
  <c r="K622" i="59" s="1"/>
  <c r="H466" i="59"/>
  <c r="H622" i="59" s="1"/>
  <c r="I466" i="59"/>
  <c r="I622" i="59" s="1"/>
  <c r="O466" i="59"/>
  <c r="O622" i="59" s="1"/>
  <c r="J466" i="59"/>
  <c r="J622" i="59" s="1"/>
  <c r="G466" i="59"/>
  <c r="G622" i="59" s="1"/>
  <c r="M466" i="59"/>
  <c r="M622" i="59" s="1"/>
  <c r="L466" i="59"/>
  <c r="L622" i="59" s="1"/>
  <c r="J147" i="54"/>
  <c r="L56" i="53"/>
  <c r="P369" i="67"/>
  <c r="P407" i="67" s="1"/>
  <c r="F407" i="67" s="1"/>
  <c r="J157" i="54"/>
  <c r="P379" i="67"/>
  <c r="P417" i="67" s="1"/>
  <c r="F417" i="67" s="1"/>
  <c r="L66" i="53"/>
  <c r="G92" i="53"/>
  <c r="I92" i="53"/>
  <c r="H92" i="53"/>
  <c r="P78" i="53"/>
  <c r="S116" i="53" s="1"/>
  <c r="S214" i="59" s="1"/>
  <c r="S370" i="59" s="1"/>
  <c r="K723" i="67"/>
  <c r="L48" i="53"/>
  <c r="P361" i="67"/>
  <c r="P399" i="67" s="1"/>
  <c r="F399" i="67" s="1"/>
  <c r="J139" i="54"/>
  <c r="O85" i="53"/>
  <c r="Q85" i="53"/>
  <c r="P85" i="53"/>
  <c r="H469" i="59"/>
  <c r="H625" i="59" s="1"/>
  <c r="K469" i="59"/>
  <c r="K625" i="59" s="1"/>
  <c r="L469" i="59"/>
  <c r="L625" i="59" s="1"/>
  <c r="J469" i="59"/>
  <c r="J625" i="59" s="1"/>
  <c r="N469" i="59"/>
  <c r="N625" i="59" s="1"/>
  <c r="O469" i="59"/>
  <c r="O625" i="59" s="1"/>
  <c r="I469" i="59"/>
  <c r="I625" i="59" s="1"/>
  <c r="G469" i="59"/>
  <c r="G625" i="59" s="1"/>
  <c r="M469" i="59"/>
  <c r="M625" i="59" s="1"/>
  <c r="N118" i="67"/>
  <c r="N157" i="67" s="1"/>
  <c r="R432" i="59"/>
  <c r="R588" i="59" s="1"/>
  <c r="L69" i="53"/>
  <c r="P382" i="67"/>
  <c r="P420" i="67" s="1"/>
  <c r="F420" i="67" s="1"/>
  <c r="J160" i="54"/>
  <c r="H203" i="53"/>
  <c r="I203" i="53"/>
  <c r="G203" i="53"/>
  <c r="K712" i="67"/>
  <c r="P67" i="53"/>
  <c r="S105" i="53" s="1"/>
  <c r="S203" i="59" s="1"/>
  <c r="S359" i="59" s="1"/>
  <c r="J298" i="54"/>
  <c r="P444" i="67"/>
  <c r="P482" i="67" s="1"/>
  <c r="F482" i="67" s="1"/>
  <c r="L166" i="53"/>
  <c r="R201" i="59"/>
  <c r="R357" i="59" s="1"/>
  <c r="N41" i="67"/>
  <c r="N80" i="67" s="1"/>
  <c r="G478" i="59"/>
  <c r="G634" i="59" s="1"/>
  <c r="O478" i="59"/>
  <c r="O634" i="59" s="1"/>
  <c r="K478" i="59"/>
  <c r="K634" i="59" s="1"/>
  <c r="L478" i="59"/>
  <c r="L634" i="59" s="1"/>
  <c r="H478" i="59"/>
  <c r="H634" i="59" s="1"/>
  <c r="J478" i="59"/>
  <c r="J634" i="59" s="1"/>
  <c r="I478" i="59"/>
  <c r="I634" i="59" s="1"/>
  <c r="N478" i="59"/>
  <c r="N634" i="59" s="1"/>
  <c r="M478" i="59"/>
  <c r="M634" i="59" s="1"/>
  <c r="K748" i="67"/>
  <c r="P174" i="53"/>
  <c r="S212" i="53" s="1"/>
  <c r="S431" i="59" s="1"/>
  <c r="S587" i="59" s="1"/>
  <c r="I89" i="53"/>
  <c r="H89" i="53"/>
  <c r="G89" i="53"/>
  <c r="K439" i="67"/>
  <c r="K477" i="67" s="1"/>
  <c r="K478" i="67"/>
  <c r="O111" i="53"/>
  <c r="Q111" i="53"/>
  <c r="P111" i="53"/>
  <c r="I87" i="53"/>
  <c r="G87" i="53"/>
  <c r="H87" i="53"/>
  <c r="S172" i="53"/>
  <c r="M429" i="59" s="1"/>
  <c r="M585" i="59" s="1"/>
  <c r="H304" i="54"/>
  <c r="R183" i="59"/>
  <c r="R339" i="59" s="1"/>
  <c r="N23" i="67"/>
  <c r="N62" i="67" s="1"/>
  <c r="G216" i="53"/>
  <c r="H216" i="53"/>
  <c r="I216" i="53"/>
  <c r="O473" i="59"/>
  <c r="O629" i="59" s="1"/>
  <c r="M473" i="59"/>
  <c r="M629" i="59" s="1"/>
  <c r="N473" i="59"/>
  <c r="N629" i="59" s="1"/>
  <c r="L473" i="59"/>
  <c r="L629" i="59" s="1"/>
  <c r="G473" i="59"/>
  <c r="G629" i="59" s="1"/>
  <c r="H473" i="59"/>
  <c r="H629" i="59" s="1"/>
  <c r="J473" i="59"/>
  <c r="J629" i="59" s="1"/>
  <c r="I473" i="59"/>
  <c r="I629" i="59" s="1"/>
  <c r="K473" i="59"/>
  <c r="K629" i="59" s="1"/>
  <c r="L76" i="53"/>
  <c r="P389" i="67"/>
  <c r="P427" i="67" s="1"/>
  <c r="F427" i="67" s="1"/>
  <c r="J167" i="54"/>
  <c r="S165" i="53"/>
  <c r="M422" i="59" s="1"/>
  <c r="M578" i="59" s="1"/>
  <c r="H297" i="54"/>
  <c r="R189" i="59"/>
  <c r="R345" i="59" s="1"/>
  <c r="N29" i="67"/>
  <c r="N68" i="67" s="1"/>
  <c r="O170" i="53"/>
  <c r="K208" i="53" s="1"/>
  <c r="K427" i="59" s="1"/>
  <c r="K583" i="59" s="1"/>
  <c r="J744" i="67"/>
  <c r="H210" i="53"/>
  <c r="G210" i="53"/>
  <c r="I210" i="53"/>
  <c r="R429" i="59"/>
  <c r="R585" i="59" s="1"/>
  <c r="N115" i="67"/>
  <c r="N154" i="67" s="1"/>
  <c r="N37" i="67"/>
  <c r="N76" i="67" s="1"/>
  <c r="R197" i="59"/>
  <c r="R353" i="59" s="1"/>
  <c r="K764" i="67"/>
  <c r="P190" i="53"/>
  <c r="S228" i="53" s="1"/>
  <c r="S447" i="59" s="1"/>
  <c r="S603" i="59" s="1"/>
  <c r="H318" i="54"/>
  <c r="S186" i="53"/>
  <c r="M443" i="59" s="1"/>
  <c r="M599" i="59" s="1"/>
  <c r="N521" i="67"/>
  <c r="N559" i="67" s="1"/>
  <c r="N560" i="67"/>
  <c r="K459" i="59"/>
  <c r="K615" i="59" s="1"/>
  <c r="M459" i="59"/>
  <c r="M615" i="59" s="1"/>
  <c r="O459" i="59"/>
  <c r="O615" i="59" s="1"/>
  <c r="I459" i="59"/>
  <c r="I615" i="59" s="1"/>
  <c r="G459" i="59"/>
  <c r="G615" i="59" s="1"/>
  <c r="J459" i="59"/>
  <c r="J615" i="59" s="1"/>
  <c r="L459" i="59"/>
  <c r="L615" i="59" s="1"/>
  <c r="N459" i="59"/>
  <c r="N615" i="59" s="1"/>
  <c r="H459" i="59"/>
  <c r="H615" i="59" s="1"/>
  <c r="H100" i="53"/>
  <c r="G100" i="53"/>
  <c r="I100" i="53"/>
  <c r="P470" i="67"/>
  <c r="P508" i="67" s="1"/>
  <c r="F508" i="67" s="1"/>
  <c r="L192" i="53"/>
  <c r="J324" i="54"/>
  <c r="P232" i="53"/>
  <c r="Q232" i="53"/>
  <c r="O232" i="53"/>
  <c r="J323" i="54"/>
  <c r="P469" i="67"/>
  <c r="P507" i="67" s="1"/>
  <c r="F507" i="67" s="1"/>
  <c r="L191" i="53"/>
  <c r="P208" i="53"/>
  <c r="O208" i="53"/>
  <c r="Q208" i="53"/>
  <c r="N30" i="67"/>
  <c r="N69" i="67" s="1"/>
  <c r="R190" i="59"/>
  <c r="R346" i="59" s="1"/>
  <c r="R443" i="59"/>
  <c r="R599" i="59" s="1"/>
  <c r="N129" i="67"/>
  <c r="N168" i="67" s="1"/>
  <c r="Q215" i="53"/>
  <c r="O215" i="53"/>
  <c r="P215" i="53"/>
  <c r="P178" i="53"/>
  <c r="S216" i="53" s="1"/>
  <c r="S435" i="59" s="1"/>
  <c r="S591" i="59" s="1"/>
  <c r="K752" i="67"/>
  <c r="P169" i="53"/>
  <c r="S207" i="53" s="1"/>
  <c r="S426" i="59" s="1"/>
  <c r="S582" i="59" s="1"/>
  <c r="K743" i="67"/>
  <c r="S70" i="53"/>
  <c r="M206" i="59" s="1"/>
  <c r="M362" i="59" s="1"/>
  <c r="H161" i="54"/>
  <c r="R663" i="59"/>
  <c r="R819" i="59" s="1"/>
  <c r="N195" i="67"/>
  <c r="N234" i="67" s="1"/>
  <c r="J428" i="59"/>
  <c r="J584" i="59" s="1"/>
  <c r="J114" i="67"/>
  <c r="J153" i="67" s="1"/>
  <c r="O283" i="53"/>
  <c r="K321" i="53" s="1"/>
  <c r="K661" i="59" s="1"/>
  <c r="K817" i="59" s="1"/>
  <c r="J786" i="67"/>
  <c r="H234" i="53"/>
  <c r="I234" i="53"/>
  <c r="G234" i="53"/>
  <c r="G327" i="53"/>
  <c r="H327" i="53"/>
  <c r="I327" i="53"/>
  <c r="I222" i="53"/>
  <c r="G222" i="53"/>
  <c r="H222" i="53"/>
  <c r="J328" i="54"/>
  <c r="L196" i="53"/>
  <c r="P474" i="67"/>
  <c r="P512" i="67" s="1"/>
  <c r="F512" i="67" s="1"/>
  <c r="J279" i="67"/>
  <c r="J318" i="67" s="1"/>
  <c r="J901" i="59"/>
  <c r="J1057" i="59" s="1"/>
  <c r="S294" i="53"/>
  <c r="M672" i="59" s="1"/>
  <c r="M828" i="59" s="1"/>
  <c r="H467" i="54"/>
  <c r="K829" i="67"/>
  <c r="P397" i="53"/>
  <c r="S435" i="53" s="1"/>
  <c r="S896" i="59" s="1"/>
  <c r="S1052" i="59" s="1"/>
  <c r="R446" i="59"/>
  <c r="R602" i="59" s="1"/>
  <c r="N132" i="67"/>
  <c r="N171" i="67" s="1"/>
  <c r="R665" i="59"/>
  <c r="R821" i="59" s="1"/>
  <c r="N197" i="67"/>
  <c r="N236" i="67" s="1"/>
  <c r="K768" i="67"/>
  <c r="P194" i="53"/>
  <c r="S232" i="53" s="1"/>
  <c r="S451" i="59" s="1"/>
  <c r="S607" i="59" s="1"/>
  <c r="O285" i="53"/>
  <c r="K323" i="53" s="1"/>
  <c r="K663" i="59" s="1"/>
  <c r="K819" i="59" s="1"/>
  <c r="J788" i="67"/>
  <c r="H436" i="53"/>
  <c r="G436" i="53"/>
  <c r="I436" i="53"/>
  <c r="S414" i="53"/>
  <c r="M913" i="59" s="1"/>
  <c r="M1069" i="59" s="1"/>
  <c r="H628" i="54"/>
  <c r="J475" i="54"/>
  <c r="L302" i="53"/>
  <c r="P545" i="67"/>
  <c r="P583" i="67" s="1"/>
  <c r="F583" i="67" s="1"/>
  <c r="S423" i="53"/>
  <c r="M922" i="59" s="1"/>
  <c r="M1078" i="59" s="1"/>
  <c r="H637" i="54"/>
  <c r="J845" i="67"/>
  <c r="O413" i="53"/>
  <c r="K451" i="53" s="1"/>
  <c r="K912" i="59" s="1"/>
  <c r="K1068" i="59" s="1"/>
  <c r="H481" i="54"/>
  <c r="S308" i="53"/>
  <c r="M686" i="59" s="1"/>
  <c r="M842" i="59" s="1"/>
  <c r="J679" i="59"/>
  <c r="J835" i="59" s="1"/>
  <c r="J211" i="67"/>
  <c r="J250" i="67" s="1"/>
  <c r="I475" i="59"/>
  <c r="I631" i="59" s="1"/>
  <c r="L475" i="59"/>
  <c r="L631" i="59" s="1"/>
  <c r="M475" i="59"/>
  <c r="M631" i="59" s="1"/>
  <c r="J475" i="59"/>
  <c r="J631" i="59" s="1"/>
  <c r="H475" i="59"/>
  <c r="H631" i="59" s="1"/>
  <c r="O475" i="59"/>
  <c r="O631" i="59" s="1"/>
  <c r="K475" i="59"/>
  <c r="K631" i="59" s="1"/>
  <c r="N475" i="59"/>
  <c r="N631" i="59" s="1"/>
  <c r="G475" i="59"/>
  <c r="G631" i="59" s="1"/>
  <c r="J831" i="67"/>
  <c r="O399" i="53"/>
  <c r="K437" i="53" s="1"/>
  <c r="K898" i="59" s="1"/>
  <c r="K1054" i="59" s="1"/>
  <c r="J284" i="67"/>
  <c r="J323" i="67" s="1"/>
  <c r="J906" i="59"/>
  <c r="J1062" i="59" s="1"/>
  <c r="P285" i="53"/>
  <c r="S323" i="53" s="1"/>
  <c r="S663" i="59" s="1"/>
  <c r="S819" i="59" s="1"/>
  <c r="K788" i="67"/>
  <c r="S304" i="53"/>
  <c r="M682" i="59" s="1"/>
  <c r="M838" i="59" s="1"/>
  <c r="H477" i="54"/>
  <c r="K799" i="67"/>
  <c r="P296" i="53"/>
  <c r="S334" i="53" s="1"/>
  <c r="S674" i="59" s="1"/>
  <c r="S830" i="59" s="1"/>
  <c r="P533" i="67"/>
  <c r="P571" i="67" s="1"/>
  <c r="F571" i="67" s="1"/>
  <c r="J463" i="54"/>
  <c r="L290" i="53"/>
  <c r="N300" i="67"/>
  <c r="N339" i="67" s="1"/>
  <c r="R922" i="59"/>
  <c r="R1078" i="59" s="1"/>
  <c r="P613" i="67"/>
  <c r="P651" i="67" s="1"/>
  <c r="F651" i="67" s="1"/>
  <c r="J619" i="54"/>
  <c r="L405" i="53"/>
  <c r="Q436" i="53"/>
  <c r="O436" i="53"/>
  <c r="P436" i="53"/>
  <c r="O707" i="59"/>
  <c r="O863" i="59" s="1"/>
  <c r="J707" i="59"/>
  <c r="J863" i="59" s="1"/>
  <c r="L707" i="59"/>
  <c r="L863" i="59" s="1"/>
  <c r="G707" i="59"/>
  <c r="G863" i="59" s="1"/>
  <c r="K707" i="59"/>
  <c r="K863" i="59" s="1"/>
  <c r="M707" i="59"/>
  <c r="M863" i="59" s="1"/>
  <c r="N707" i="59"/>
  <c r="N863" i="59" s="1"/>
  <c r="H707" i="59"/>
  <c r="H863" i="59" s="1"/>
  <c r="I707" i="59"/>
  <c r="I863" i="59" s="1"/>
  <c r="P620" i="67"/>
  <c r="P658" i="67" s="1"/>
  <c r="F658" i="67" s="1"/>
  <c r="L412" i="53"/>
  <c r="J626" i="54"/>
  <c r="L696" i="59"/>
  <c r="F695" i="59"/>
  <c r="F14" i="59" s="1"/>
  <c r="M126" i="49" s="1"/>
  <c r="J696" i="59"/>
  <c r="H696" i="59"/>
  <c r="N696" i="59"/>
  <c r="M696" i="59"/>
  <c r="G696" i="59"/>
  <c r="I696" i="59"/>
  <c r="O696" i="59"/>
  <c r="K696" i="59"/>
  <c r="J283" i="67"/>
  <c r="J322" i="67" s="1"/>
  <c r="J905" i="59"/>
  <c r="J1061" i="59" s="1"/>
  <c r="K839" i="67"/>
  <c r="P407" i="53"/>
  <c r="S445" i="53" s="1"/>
  <c r="S906" i="59" s="1"/>
  <c r="S1062" i="59" s="1"/>
  <c r="N190" i="67"/>
  <c r="N229" i="67" s="1"/>
  <c r="R658" i="59"/>
  <c r="R814" i="59" s="1"/>
  <c r="O339" i="53"/>
  <c r="P339" i="53"/>
  <c r="Q339" i="53"/>
  <c r="S398" i="53"/>
  <c r="M897" i="59" s="1"/>
  <c r="M1053" i="59" s="1"/>
  <c r="H612" i="54"/>
  <c r="N201" i="67"/>
  <c r="N240" i="67" s="1"/>
  <c r="R669" i="59"/>
  <c r="R825" i="59" s="1"/>
  <c r="J687" i="59"/>
  <c r="J843" i="59" s="1"/>
  <c r="J219" i="67"/>
  <c r="J258" i="67" s="1"/>
  <c r="R687" i="59"/>
  <c r="R843" i="59" s="1"/>
  <c r="N219" i="67"/>
  <c r="N258" i="67" s="1"/>
  <c r="S406" i="53"/>
  <c r="M905" i="59" s="1"/>
  <c r="M1061" i="59" s="1"/>
  <c r="H620" i="54"/>
  <c r="P437" i="53"/>
  <c r="O437" i="53"/>
  <c r="Q437" i="53"/>
  <c r="O296" i="53"/>
  <c r="K334" i="53" s="1"/>
  <c r="K674" i="59" s="1"/>
  <c r="K830" i="59" s="1"/>
  <c r="J799" i="67"/>
  <c r="J829" i="67"/>
  <c r="O397" i="53"/>
  <c r="K435" i="53" s="1"/>
  <c r="K896" i="59" s="1"/>
  <c r="K1052" i="59" s="1"/>
  <c r="R911" i="59"/>
  <c r="R1067" i="59" s="1"/>
  <c r="N289" i="67"/>
  <c r="N328" i="67" s="1"/>
  <c r="R910" i="59"/>
  <c r="R1066" i="59" s="1"/>
  <c r="N288" i="67"/>
  <c r="N327" i="67" s="1"/>
  <c r="O312" i="53"/>
  <c r="K350" i="53" s="1"/>
  <c r="K690" i="59" s="1"/>
  <c r="K846" i="59" s="1"/>
  <c r="J815" i="67"/>
  <c r="F815" i="67" s="1"/>
  <c r="M560" i="67"/>
  <c r="M521" i="67"/>
  <c r="M559" i="67" s="1"/>
  <c r="I717" i="59"/>
  <c r="I873" i="59" s="1"/>
  <c r="J717" i="59"/>
  <c r="J873" i="59" s="1"/>
  <c r="N717" i="59"/>
  <c r="N873" i="59" s="1"/>
  <c r="L717" i="59"/>
  <c r="L873" i="59" s="1"/>
  <c r="H717" i="59"/>
  <c r="H873" i="59" s="1"/>
  <c r="K717" i="59"/>
  <c r="K873" i="59" s="1"/>
  <c r="G717" i="59"/>
  <c r="G873" i="59" s="1"/>
  <c r="O717" i="59"/>
  <c r="O873" i="59" s="1"/>
  <c r="M717" i="59"/>
  <c r="M873" i="59" s="1"/>
  <c r="J842" i="67"/>
  <c r="O410" i="53"/>
  <c r="K448" i="53" s="1"/>
  <c r="K909" i="59" s="1"/>
  <c r="K1065" i="59" s="1"/>
  <c r="S420" i="53"/>
  <c r="M919" i="59" s="1"/>
  <c r="M1075" i="59" s="1"/>
  <c r="H634" i="54"/>
  <c r="F634" i="54" s="1"/>
  <c r="F516" i="54" s="1"/>
  <c r="D195" i="49" s="1"/>
  <c r="K195" i="49" s="1"/>
  <c r="K603" i="67"/>
  <c r="K641" i="67" s="1"/>
  <c r="K642" i="67"/>
  <c r="H642" i="54"/>
  <c r="S428" i="53"/>
  <c r="M927" i="59" s="1"/>
  <c r="M1083" i="59" s="1"/>
  <c r="N948" i="59"/>
  <c r="N1104" i="59" s="1"/>
  <c r="L948" i="59"/>
  <c r="L1104" i="59" s="1"/>
  <c r="H948" i="59"/>
  <c r="H1104" i="59" s="1"/>
  <c r="J948" i="59"/>
  <c r="J1104" i="59" s="1"/>
  <c r="O948" i="59"/>
  <c r="O1104" i="59" s="1"/>
  <c r="K948" i="59"/>
  <c r="K1104" i="59" s="1"/>
  <c r="G948" i="59"/>
  <c r="G1104" i="59" s="1"/>
  <c r="I948" i="59"/>
  <c r="I1104" i="59" s="1"/>
  <c r="M948" i="59"/>
  <c r="M1104" i="59" s="1"/>
  <c r="L190" i="53"/>
  <c r="J322" i="54"/>
  <c r="P468" i="67"/>
  <c r="P506" i="67" s="1"/>
  <c r="F506" i="67" s="1"/>
  <c r="N274" i="67"/>
  <c r="N313" i="67" s="1"/>
  <c r="R896" i="59"/>
  <c r="R1052" i="59" s="1"/>
  <c r="I462" i="53"/>
  <c r="H462" i="53"/>
  <c r="G462" i="53"/>
  <c r="I333" i="53"/>
  <c r="G333" i="53"/>
  <c r="H333" i="53"/>
  <c r="P625" i="67"/>
  <c r="P663" i="67" s="1"/>
  <c r="F663" i="67" s="1"/>
  <c r="J631" i="54"/>
  <c r="L417" i="53"/>
  <c r="P402" i="53"/>
  <c r="S440" i="53" s="1"/>
  <c r="S901" i="59" s="1"/>
  <c r="S1057" i="59" s="1"/>
  <c r="K834" i="67"/>
  <c r="Q331" i="53"/>
  <c r="O331" i="53"/>
  <c r="P331" i="53"/>
  <c r="O282" i="53"/>
  <c r="K320" i="53" s="1"/>
  <c r="K660" i="59" s="1"/>
  <c r="K816" i="59" s="1"/>
  <c r="J785" i="67"/>
  <c r="P633" i="67"/>
  <c r="P671" i="67" s="1"/>
  <c r="F671" i="67" s="1"/>
  <c r="L425" i="53"/>
  <c r="J639" i="54"/>
  <c r="Q441" i="53"/>
  <c r="O441" i="53"/>
  <c r="P441" i="53"/>
  <c r="J841" i="67"/>
  <c r="F841" i="67" s="1"/>
  <c r="O409" i="53"/>
  <c r="K447" i="53" s="1"/>
  <c r="K908" i="59" s="1"/>
  <c r="K1064" i="59" s="1"/>
  <c r="O304" i="53"/>
  <c r="K342" i="53" s="1"/>
  <c r="K682" i="59" s="1"/>
  <c r="K838" i="59" s="1"/>
  <c r="J807" i="67"/>
  <c r="J277" i="67"/>
  <c r="J316" i="67" s="1"/>
  <c r="J899" i="59"/>
  <c r="J1055" i="59" s="1"/>
  <c r="K849" i="67"/>
  <c r="P417" i="53"/>
  <c r="S455" i="53" s="1"/>
  <c r="S916" i="59" s="1"/>
  <c r="S1072" i="59" s="1"/>
  <c r="P530" i="67"/>
  <c r="P568" i="67" s="1"/>
  <c r="F568" i="67" s="1"/>
  <c r="L287" i="53"/>
  <c r="J460" i="54"/>
  <c r="J472" i="54"/>
  <c r="L299" i="53"/>
  <c r="P542" i="67"/>
  <c r="P580" i="67" s="1"/>
  <c r="F580" i="67" s="1"/>
  <c r="P280" i="53"/>
  <c r="S318" i="53" s="1"/>
  <c r="S658" i="59" s="1"/>
  <c r="S814" i="59" s="1"/>
  <c r="K783" i="67"/>
  <c r="O344" i="53"/>
  <c r="Q344" i="53"/>
  <c r="P344" i="53"/>
  <c r="L955" i="59"/>
  <c r="L1111" i="59" s="1"/>
  <c r="M955" i="59"/>
  <c r="M1111" i="59" s="1"/>
  <c r="J955" i="59"/>
  <c r="J1111" i="59" s="1"/>
  <c r="I955" i="59"/>
  <c r="I1111" i="59" s="1"/>
  <c r="K955" i="59"/>
  <c r="K1111" i="59" s="1"/>
  <c r="O955" i="59"/>
  <c r="O1111" i="59" s="1"/>
  <c r="G955" i="59"/>
  <c r="G1111" i="59" s="1"/>
  <c r="H955" i="59"/>
  <c r="H1111" i="59" s="1"/>
  <c r="N955" i="59"/>
  <c r="N1111" i="59" s="1"/>
  <c r="O345" i="53"/>
  <c r="Q345" i="53"/>
  <c r="P345" i="53"/>
  <c r="P457" i="53"/>
  <c r="Q457" i="53"/>
  <c r="O457" i="53"/>
  <c r="I962" i="59"/>
  <c r="I1118" i="59" s="1"/>
  <c r="M962" i="59"/>
  <c r="M1118" i="59" s="1"/>
  <c r="K962" i="59"/>
  <c r="K1118" i="59" s="1"/>
  <c r="J962" i="59"/>
  <c r="J1118" i="59" s="1"/>
  <c r="N962" i="59"/>
  <c r="N1118" i="59" s="1"/>
  <c r="H962" i="59"/>
  <c r="H1118" i="59" s="1"/>
  <c r="G962" i="59"/>
  <c r="G1118" i="59" s="1"/>
  <c r="O962" i="59"/>
  <c r="O1118" i="59" s="1"/>
  <c r="L962" i="59"/>
  <c r="L1118" i="59" s="1"/>
  <c r="P605" i="67"/>
  <c r="P643" i="67" s="1"/>
  <c r="F643" i="67" s="1"/>
  <c r="L397" i="53"/>
  <c r="J611" i="54"/>
  <c r="J860" i="67"/>
  <c r="O428" i="53"/>
  <c r="K466" i="53" s="1"/>
  <c r="K927" i="59" s="1"/>
  <c r="K1083" i="59" s="1"/>
  <c r="J624" i="54"/>
  <c r="L410" i="53"/>
  <c r="P618" i="67"/>
  <c r="P656" i="67" s="1"/>
  <c r="F656" i="67" s="1"/>
  <c r="J628" i="54"/>
  <c r="L414" i="53"/>
  <c r="P622" i="67"/>
  <c r="P660" i="67" s="1"/>
  <c r="F660" i="67" s="1"/>
  <c r="I349" i="53"/>
  <c r="H349" i="53"/>
  <c r="G349" i="53"/>
  <c r="O698" i="59"/>
  <c r="O854" i="59" s="1"/>
  <c r="N698" i="59"/>
  <c r="N854" i="59" s="1"/>
  <c r="H698" i="59"/>
  <c r="H854" i="59" s="1"/>
  <c r="K698" i="59"/>
  <c r="K854" i="59" s="1"/>
  <c r="I698" i="59"/>
  <c r="I854" i="59" s="1"/>
  <c r="L698" i="59"/>
  <c r="L854" i="59" s="1"/>
  <c r="M698" i="59"/>
  <c r="M854" i="59" s="1"/>
  <c r="J698" i="59"/>
  <c r="J854" i="59" s="1"/>
  <c r="G698" i="59"/>
  <c r="G854" i="59" s="1"/>
  <c r="H610" i="54"/>
  <c r="S396" i="53"/>
  <c r="M895" i="59" s="1"/>
  <c r="R677" i="59"/>
  <c r="R833" i="59" s="1"/>
  <c r="N209" i="67"/>
  <c r="N248" i="67" s="1"/>
  <c r="Q465" i="53"/>
  <c r="O465" i="53"/>
  <c r="P465" i="53"/>
  <c r="L416" i="53"/>
  <c r="J630" i="54"/>
  <c r="P624" i="67"/>
  <c r="P662" i="67" s="1"/>
  <c r="F662" i="67" s="1"/>
  <c r="P305" i="53"/>
  <c r="S343" i="53" s="1"/>
  <c r="S683" i="59" s="1"/>
  <c r="S839" i="59" s="1"/>
  <c r="K808" i="67"/>
  <c r="J697" i="67"/>
  <c r="O52" i="53"/>
  <c r="K90" i="53" s="1"/>
  <c r="K188" i="59" s="1"/>
  <c r="K344" i="59" s="1"/>
  <c r="F457" i="59"/>
  <c r="K458" i="59"/>
  <c r="H458" i="59"/>
  <c r="G458" i="59"/>
  <c r="L458" i="59"/>
  <c r="N458" i="59"/>
  <c r="M458" i="59"/>
  <c r="O458" i="59"/>
  <c r="J458" i="59"/>
  <c r="I458" i="59"/>
  <c r="I114" i="53"/>
  <c r="G114" i="53"/>
  <c r="H114" i="53"/>
  <c r="I221" i="59"/>
  <c r="I377" i="59" s="1"/>
  <c r="J221" i="59"/>
  <c r="J377" i="59" s="1"/>
  <c r="N221" i="59"/>
  <c r="N377" i="59" s="1"/>
  <c r="H221" i="59"/>
  <c r="H377" i="59" s="1"/>
  <c r="M221" i="59"/>
  <c r="M377" i="59" s="1"/>
  <c r="L221" i="59"/>
  <c r="L377" i="59" s="1"/>
  <c r="G221" i="59"/>
  <c r="G377" i="59" s="1"/>
  <c r="O221" i="59"/>
  <c r="O377" i="59" s="1"/>
  <c r="K221" i="59"/>
  <c r="K377" i="59" s="1"/>
  <c r="O89" i="53"/>
  <c r="P89" i="53"/>
  <c r="Q89" i="53"/>
  <c r="P68" i="53"/>
  <c r="S106" i="53" s="1"/>
  <c r="S204" i="59" s="1"/>
  <c r="S360" i="59" s="1"/>
  <c r="K713" i="67"/>
  <c r="N35" i="67"/>
  <c r="N74" i="67" s="1"/>
  <c r="R195" i="59"/>
  <c r="R351" i="59" s="1"/>
  <c r="Q93" i="53"/>
  <c r="O93" i="53"/>
  <c r="P93" i="53"/>
  <c r="N42" i="67"/>
  <c r="N81" i="67" s="1"/>
  <c r="R202" i="59"/>
  <c r="R358" i="59" s="1"/>
  <c r="N396" i="67"/>
  <c r="N357" i="67"/>
  <c r="N395" i="67" s="1"/>
  <c r="S45" i="53"/>
  <c r="M181" i="59" s="1"/>
  <c r="H136" i="54"/>
  <c r="S175" i="53"/>
  <c r="M432" i="59" s="1"/>
  <c r="M588" i="59" s="1"/>
  <c r="H307" i="54"/>
  <c r="I101" i="53"/>
  <c r="G101" i="53"/>
  <c r="H101" i="53"/>
  <c r="P371" i="67"/>
  <c r="P409" i="67" s="1"/>
  <c r="F409" i="67" s="1"/>
  <c r="J149" i="54"/>
  <c r="L58" i="53"/>
  <c r="P63" i="53"/>
  <c r="S101" i="53" s="1"/>
  <c r="S199" i="59" s="1"/>
  <c r="S355" i="59" s="1"/>
  <c r="K708" i="67"/>
  <c r="J35" i="67"/>
  <c r="J74" i="67" s="1"/>
  <c r="J195" i="59"/>
  <c r="J351" i="59" s="1"/>
  <c r="S76" i="53"/>
  <c r="M212" i="59" s="1"/>
  <c r="M368" i="59" s="1"/>
  <c r="H167" i="54"/>
  <c r="M251" i="59"/>
  <c r="M407" i="59" s="1"/>
  <c r="L251" i="59"/>
  <c r="L407" i="59" s="1"/>
  <c r="I251" i="59"/>
  <c r="I407" i="59" s="1"/>
  <c r="J251" i="59"/>
  <c r="J407" i="59" s="1"/>
  <c r="G251" i="59"/>
  <c r="G407" i="59" s="1"/>
  <c r="K251" i="59"/>
  <c r="K407" i="59" s="1"/>
  <c r="H251" i="59"/>
  <c r="H407" i="59" s="1"/>
  <c r="N251" i="59"/>
  <c r="N407" i="59" s="1"/>
  <c r="O251" i="59"/>
  <c r="O407" i="59" s="1"/>
  <c r="O169" i="53"/>
  <c r="K207" i="53" s="1"/>
  <c r="K426" i="59" s="1"/>
  <c r="K582" i="59" s="1"/>
  <c r="J743" i="67"/>
  <c r="N227" i="59"/>
  <c r="N383" i="59" s="1"/>
  <c r="I227" i="59"/>
  <c r="I383" i="59" s="1"/>
  <c r="O227" i="59"/>
  <c r="O383" i="59" s="1"/>
  <c r="M227" i="59"/>
  <c r="M383" i="59" s="1"/>
  <c r="K227" i="59"/>
  <c r="K383" i="59" s="1"/>
  <c r="J227" i="59"/>
  <c r="J383" i="59" s="1"/>
  <c r="L227" i="59"/>
  <c r="L383" i="59" s="1"/>
  <c r="H227" i="59"/>
  <c r="H383" i="59" s="1"/>
  <c r="G227" i="59"/>
  <c r="G383" i="59" s="1"/>
  <c r="O115" i="53"/>
  <c r="P115" i="53"/>
  <c r="Q115" i="53"/>
  <c r="J696" i="67"/>
  <c r="O51" i="53"/>
  <c r="K89" i="53" s="1"/>
  <c r="K187" i="59" s="1"/>
  <c r="K343" i="59" s="1"/>
  <c r="S63" i="53"/>
  <c r="M199" i="59" s="1"/>
  <c r="M355" i="59" s="1"/>
  <c r="H154" i="54"/>
  <c r="J196" i="59"/>
  <c r="J352" i="59" s="1"/>
  <c r="J36" i="67"/>
  <c r="J75" i="67" s="1"/>
  <c r="J146" i="54"/>
  <c r="P368" i="67"/>
  <c r="P406" i="67" s="1"/>
  <c r="F406" i="67" s="1"/>
  <c r="L55" i="53"/>
  <c r="H146" i="54"/>
  <c r="S55" i="53"/>
  <c r="M191" i="59" s="1"/>
  <c r="M347" i="59" s="1"/>
  <c r="P70" i="53"/>
  <c r="S108" i="53" s="1"/>
  <c r="S206" i="59" s="1"/>
  <c r="S362" i="59" s="1"/>
  <c r="K715" i="67"/>
  <c r="P88" i="53"/>
  <c r="O88" i="53"/>
  <c r="Q88" i="53"/>
  <c r="S69" i="53"/>
  <c r="M205" i="59" s="1"/>
  <c r="M361" i="59" s="1"/>
  <c r="H160" i="54"/>
  <c r="K746" i="67"/>
  <c r="P172" i="53"/>
  <c r="S210" i="53" s="1"/>
  <c r="S429" i="59" s="1"/>
  <c r="S585" i="59" s="1"/>
  <c r="J194" i="59"/>
  <c r="J350" i="59" s="1"/>
  <c r="J34" i="67"/>
  <c r="J73" i="67" s="1"/>
  <c r="U418" i="59"/>
  <c r="U575" i="59"/>
  <c r="U574" i="59" s="1"/>
  <c r="P92" i="53"/>
  <c r="Q92" i="53"/>
  <c r="O92" i="53"/>
  <c r="H157" i="54"/>
  <c r="F157" i="54" s="1"/>
  <c r="F39" i="54" s="1"/>
  <c r="D66" i="49" s="1"/>
  <c r="S66" i="53"/>
  <c r="M202" i="59" s="1"/>
  <c r="M358" i="59" s="1"/>
  <c r="O357" i="67"/>
  <c r="O395" i="67" s="1"/>
  <c r="O396" i="67"/>
  <c r="P73" i="53"/>
  <c r="S111" i="53" s="1"/>
  <c r="S209" i="59" s="1"/>
  <c r="S365" i="59" s="1"/>
  <c r="K718" i="67"/>
  <c r="Q87" i="53"/>
  <c r="P87" i="53"/>
  <c r="O87" i="53"/>
  <c r="O75" i="53"/>
  <c r="K113" i="53" s="1"/>
  <c r="K211" i="59" s="1"/>
  <c r="K367" i="59" s="1"/>
  <c r="J720" i="67"/>
  <c r="R426" i="59"/>
  <c r="R582" i="59" s="1"/>
  <c r="N112" i="67"/>
  <c r="N151" i="67" s="1"/>
  <c r="R192" i="59"/>
  <c r="R348" i="59" s="1"/>
  <c r="N32" i="67"/>
  <c r="N71" i="67" s="1"/>
  <c r="O49" i="53"/>
  <c r="K87" i="53" s="1"/>
  <c r="K185" i="59" s="1"/>
  <c r="K341" i="59" s="1"/>
  <c r="J694" i="67"/>
  <c r="J737" i="67"/>
  <c r="O163" i="53"/>
  <c r="K201" i="53" s="1"/>
  <c r="K420" i="59" s="1"/>
  <c r="K576" i="59" s="1"/>
  <c r="H84" i="53"/>
  <c r="I84" i="53"/>
  <c r="G84" i="53"/>
  <c r="H152" i="54"/>
  <c r="S61" i="53"/>
  <c r="M197" i="59" s="1"/>
  <c r="M353" i="59" s="1"/>
  <c r="K751" i="67"/>
  <c r="P177" i="53"/>
  <c r="S215" i="53" s="1"/>
  <c r="S434" i="59" s="1"/>
  <c r="S590" i="59" s="1"/>
  <c r="N46" i="67"/>
  <c r="N85" i="67" s="1"/>
  <c r="R206" i="59"/>
  <c r="R362" i="59" s="1"/>
  <c r="S79" i="53"/>
  <c r="M215" i="59" s="1"/>
  <c r="M371" i="59" s="1"/>
  <c r="H170" i="54"/>
  <c r="F170" i="54" s="1"/>
  <c r="F52" i="54" s="1"/>
  <c r="H219" i="53"/>
  <c r="G219" i="53"/>
  <c r="I219" i="53"/>
  <c r="R214" i="59"/>
  <c r="R370" i="59" s="1"/>
  <c r="N54" i="67"/>
  <c r="N93" i="67" s="1"/>
  <c r="H96" i="53"/>
  <c r="G96" i="53"/>
  <c r="I96" i="53"/>
  <c r="Q203" i="53"/>
  <c r="O203" i="53"/>
  <c r="P203" i="53"/>
  <c r="N31" i="67"/>
  <c r="N70" i="67" s="1"/>
  <c r="R191" i="59"/>
  <c r="R347" i="59" s="1"/>
  <c r="G209" i="53"/>
  <c r="H209" i="53"/>
  <c r="I209" i="53"/>
  <c r="I202" i="53"/>
  <c r="H202" i="53"/>
  <c r="G202" i="53"/>
  <c r="O63" i="53"/>
  <c r="K101" i="53" s="1"/>
  <c r="K199" i="59" s="1"/>
  <c r="K355" i="59" s="1"/>
  <c r="J708" i="67"/>
  <c r="O221" i="53"/>
  <c r="Q221" i="53"/>
  <c r="P221" i="53"/>
  <c r="G224" i="53"/>
  <c r="H224" i="53"/>
  <c r="I224" i="53"/>
  <c r="K741" i="67"/>
  <c r="P167" i="53"/>
  <c r="S205" i="53" s="1"/>
  <c r="S424" i="59" s="1"/>
  <c r="S580" i="59" s="1"/>
  <c r="N137" i="67"/>
  <c r="N176" i="67" s="1"/>
  <c r="R451" i="59"/>
  <c r="R607" i="59" s="1"/>
  <c r="J436" i="59"/>
  <c r="J592" i="59" s="1"/>
  <c r="J122" i="67"/>
  <c r="J161" i="67" s="1"/>
  <c r="H226" i="53"/>
  <c r="G226" i="53"/>
  <c r="I226" i="53"/>
  <c r="Q230" i="53"/>
  <c r="P230" i="53"/>
  <c r="O230" i="53"/>
  <c r="J126" i="67"/>
  <c r="J165" i="67" s="1"/>
  <c r="J440" i="59"/>
  <c r="J596" i="59" s="1"/>
  <c r="J442" i="59"/>
  <c r="J598" i="59" s="1"/>
  <c r="J128" i="67"/>
  <c r="J167" i="67" s="1"/>
  <c r="G460" i="59"/>
  <c r="G616" i="59" s="1"/>
  <c r="N460" i="59"/>
  <c r="N616" i="59" s="1"/>
  <c r="O460" i="59"/>
  <c r="O616" i="59" s="1"/>
  <c r="I460" i="59"/>
  <c r="I616" i="59" s="1"/>
  <c r="H460" i="59"/>
  <c r="H616" i="59" s="1"/>
  <c r="M460" i="59"/>
  <c r="M616" i="59" s="1"/>
  <c r="J460" i="59"/>
  <c r="J616" i="59" s="1"/>
  <c r="K460" i="59"/>
  <c r="K616" i="59" s="1"/>
  <c r="L460" i="59"/>
  <c r="L616" i="59" s="1"/>
  <c r="N489" i="59"/>
  <c r="N645" i="59" s="1"/>
  <c r="O489" i="59"/>
  <c r="O645" i="59" s="1"/>
  <c r="J489" i="59"/>
  <c r="J645" i="59" s="1"/>
  <c r="L489" i="59"/>
  <c r="L645" i="59" s="1"/>
  <c r="I489" i="59"/>
  <c r="I645" i="59" s="1"/>
  <c r="G489" i="59"/>
  <c r="G645" i="59" s="1"/>
  <c r="M489" i="59"/>
  <c r="M645" i="59" s="1"/>
  <c r="H489" i="59"/>
  <c r="H645" i="59" s="1"/>
  <c r="K489" i="59"/>
  <c r="K645" i="59" s="1"/>
  <c r="K756" i="67"/>
  <c r="P182" i="53"/>
  <c r="S220" i="53" s="1"/>
  <c r="S439" i="59" s="1"/>
  <c r="S595" i="59" s="1"/>
  <c r="J48" i="67"/>
  <c r="J87" i="67" s="1"/>
  <c r="J208" i="59"/>
  <c r="J364" i="59" s="1"/>
  <c r="S177" i="53"/>
  <c r="M434" i="59" s="1"/>
  <c r="M590" i="59" s="1"/>
  <c r="H309" i="54"/>
  <c r="M488" i="59"/>
  <c r="M644" i="59" s="1"/>
  <c r="G488" i="59"/>
  <c r="G644" i="59" s="1"/>
  <c r="N488" i="59"/>
  <c r="N644" i="59" s="1"/>
  <c r="L488" i="59"/>
  <c r="L644" i="59" s="1"/>
  <c r="O488" i="59"/>
  <c r="O644" i="59" s="1"/>
  <c r="J488" i="59"/>
  <c r="J644" i="59" s="1"/>
  <c r="K488" i="59"/>
  <c r="K644" i="59" s="1"/>
  <c r="H488" i="59"/>
  <c r="H644" i="59" s="1"/>
  <c r="I488" i="59"/>
  <c r="I644" i="59" s="1"/>
  <c r="L291" i="53"/>
  <c r="P534" i="67"/>
  <c r="P572" i="67" s="1"/>
  <c r="F572" i="67" s="1"/>
  <c r="J464" i="54"/>
  <c r="H709" i="59"/>
  <c r="H865" i="59" s="1"/>
  <c r="L709" i="59"/>
  <c r="L865" i="59" s="1"/>
  <c r="G709" i="59"/>
  <c r="G865" i="59" s="1"/>
  <c r="J709" i="59"/>
  <c r="J865" i="59" s="1"/>
  <c r="M709" i="59"/>
  <c r="M865" i="59" s="1"/>
  <c r="I709" i="59"/>
  <c r="I865" i="59" s="1"/>
  <c r="K709" i="59"/>
  <c r="K865" i="59" s="1"/>
  <c r="N709" i="59"/>
  <c r="N865" i="59" s="1"/>
  <c r="O709" i="59"/>
  <c r="O865" i="59" s="1"/>
  <c r="P448" i="67"/>
  <c r="P486" i="67" s="1"/>
  <c r="F486" i="67" s="1"/>
  <c r="L170" i="53"/>
  <c r="J302" i="54"/>
  <c r="N249" i="59"/>
  <c r="N405" i="59" s="1"/>
  <c r="I249" i="59"/>
  <c r="I405" i="59" s="1"/>
  <c r="O249" i="59"/>
  <c r="O405" i="59" s="1"/>
  <c r="M249" i="59"/>
  <c r="M405" i="59" s="1"/>
  <c r="L249" i="59"/>
  <c r="L405" i="59" s="1"/>
  <c r="H249" i="59"/>
  <c r="H405" i="59" s="1"/>
  <c r="G249" i="59"/>
  <c r="G405" i="59" s="1"/>
  <c r="J249" i="59"/>
  <c r="J405" i="59" s="1"/>
  <c r="K249" i="59"/>
  <c r="K405" i="59" s="1"/>
  <c r="S285" i="53"/>
  <c r="M663" i="59" s="1"/>
  <c r="M819" i="59" s="1"/>
  <c r="H458" i="54"/>
  <c r="J439" i="67"/>
  <c r="J477" i="67" s="1"/>
  <c r="J478" i="67"/>
  <c r="O324" i="53"/>
  <c r="Q324" i="53"/>
  <c r="P324" i="53"/>
  <c r="R444" i="59"/>
  <c r="R600" i="59" s="1"/>
  <c r="N130" i="67"/>
  <c r="N169" i="67" s="1"/>
  <c r="J796" i="67"/>
  <c r="O293" i="53"/>
  <c r="K331" i="53" s="1"/>
  <c r="K671" i="59" s="1"/>
  <c r="K827" i="59" s="1"/>
  <c r="I319" i="53"/>
  <c r="H319" i="53"/>
  <c r="G319" i="53"/>
  <c r="J222" i="67"/>
  <c r="J261" i="67" s="1"/>
  <c r="J690" i="59"/>
  <c r="J846" i="59" s="1"/>
  <c r="R445" i="59"/>
  <c r="R601" i="59" s="1"/>
  <c r="N131" i="67"/>
  <c r="N170" i="67" s="1"/>
  <c r="L293" i="53"/>
  <c r="J466" i="54"/>
  <c r="P536" i="67"/>
  <c r="P574" i="67" s="1"/>
  <c r="F574" i="67" s="1"/>
  <c r="R680" i="59"/>
  <c r="R836" i="59" s="1"/>
  <c r="N212" i="67"/>
  <c r="N251" i="67" s="1"/>
  <c r="P193" i="53"/>
  <c r="S231" i="53" s="1"/>
  <c r="S450" i="59" s="1"/>
  <c r="S606" i="59" s="1"/>
  <c r="K767" i="67"/>
  <c r="J675" i="59"/>
  <c r="J831" i="59" s="1"/>
  <c r="J207" i="67"/>
  <c r="J246" i="67" s="1"/>
  <c r="J190" i="67"/>
  <c r="J229" i="67" s="1"/>
  <c r="J658" i="59"/>
  <c r="J814" i="59" s="1"/>
  <c r="H441" i="53"/>
  <c r="G441" i="53"/>
  <c r="I441" i="53"/>
  <c r="H452" i="54"/>
  <c r="S279" i="53"/>
  <c r="M657" i="59" s="1"/>
  <c r="J666" i="59"/>
  <c r="J822" i="59" s="1"/>
  <c r="J198" i="67"/>
  <c r="J237" i="67" s="1"/>
  <c r="H460" i="54"/>
  <c r="S287" i="53"/>
  <c r="M665" i="59" s="1"/>
  <c r="M821" i="59" s="1"/>
  <c r="J924" i="59"/>
  <c r="J1080" i="59" s="1"/>
  <c r="J302" i="67"/>
  <c r="J341" i="67" s="1"/>
  <c r="K760" i="67"/>
  <c r="P186" i="53"/>
  <c r="S224" i="53" s="1"/>
  <c r="S443" i="59" s="1"/>
  <c r="S599" i="59" s="1"/>
  <c r="N214" i="67"/>
  <c r="N253" i="67" s="1"/>
  <c r="R682" i="59"/>
  <c r="R838" i="59" s="1"/>
  <c r="J293" i="67"/>
  <c r="J332" i="67" s="1"/>
  <c r="J915" i="59"/>
  <c r="J1071" i="59" s="1"/>
  <c r="P404" i="53"/>
  <c r="S442" i="53" s="1"/>
  <c r="S903" i="59" s="1"/>
  <c r="S1059" i="59" s="1"/>
  <c r="K836" i="67"/>
  <c r="H218" i="53"/>
  <c r="I218" i="53"/>
  <c r="G218" i="53"/>
  <c r="Q347" i="53"/>
  <c r="P347" i="53"/>
  <c r="O347" i="53"/>
  <c r="N290" i="67"/>
  <c r="N329" i="67" s="1"/>
  <c r="R912" i="59"/>
  <c r="R1068" i="59" s="1"/>
  <c r="L305" i="53"/>
  <c r="P548" i="67"/>
  <c r="P586" i="67" s="1"/>
  <c r="F586" i="67" s="1"/>
  <c r="J478" i="54"/>
  <c r="H230" i="53"/>
  <c r="G230" i="53"/>
  <c r="I230" i="53"/>
  <c r="L286" i="53"/>
  <c r="P529" i="67"/>
  <c r="P567" i="67" s="1"/>
  <c r="F567" i="67" s="1"/>
  <c r="J459" i="54"/>
  <c r="N960" i="59"/>
  <c r="N1116" i="59" s="1"/>
  <c r="K960" i="59"/>
  <c r="K1116" i="59" s="1"/>
  <c r="O960" i="59"/>
  <c r="O1116" i="59" s="1"/>
  <c r="L960" i="59"/>
  <c r="L1116" i="59" s="1"/>
  <c r="H960" i="59"/>
  <c r="H1116" i="59" s="1"/>
  <c r="J960" i="59"/>
  <c r="J1116" i="59" s="1"/>
  <c r="I960" i="59"/>
  <c r="I1116" i="59" s="1"/>
  <c r="M960" i="59"/>
  <c r="M1116" i="59" s="1"/>
  <c r="G960" i="59"/>
  <c r="G1116" i="59" s="1"/>
  <c r="J903" i="59"/>
  <c r="J1059" i="59" s="1"/>
  <c r="J281" i="67"/>
  <c r="J320" i="67" s="1"/>
  <c r="K828" i="67"/>
  <c r="P396" i="53"/>
  <c r="S434" i="53" s="1"/>
  <c r="S895" i="59" s="1"/>
  <c r="P411" i="53"/>
  <c r="S449" i="53" s="1"/>
  <c r="S910" i="59" s="1"/>
  <c r="S1066" i="59" s="1"/>
  <c r="K843" i="67"/>
  <c r="O404" i="53"/>
  <c r="K442" i="53" s="1"/>
  <c r="K903" i="59" s="1"/>
  <c r="K1059" i="59" s="1"/>
  <c r="J836" i="67"/>
  <c r="S298" i="53"/>
  <c r="M676" i="59" s="1"/>
  <c r="M832" i="59" s="1"/>
  <c r="H471" i="54"/>
  <c r="R659" i="59"/>
  <c r="R815" i="59" s="1"/>
  <c r="N191" i="67"/>
  <c r="N230" i="67" s="1"/>
  <c r="R906" i="59"/>
  <c r="R1062" i="59" s="1"/>
  <c r="N284" i="67"/>
  <c r="N323" i="67" s="1"/>
  <c r="P544" i="67"/>
  <c r="P582" i="67" s="1"/>
  <c r="F582" i="67" s="1"/>
  <c r="L301" i="53"/>
  <c r="J474" i="54"/>
  <c r="P460" i="67"/>
  <c r="P498" i="67" s="1"/>
  <c r="F498" i="67" s="1"/>
  <c r="J314" i="54"/>
  <c r="L182" i="53"/>
  <c r="N202" i="67"/>
  <c r="N241" i="67" s="1"/>
  <c r="R670" i="59"/>
  <c r="R826" i="59" s="1"/>
  <c r="O452" i="53"/>
  <c r="Q452" i="53"/>
  <c r="P452" i="53"/>
  <c r="S309" i="53"/>
  <c r="M687" i="59" s="1"/>
  <c r="M843" i="59" s="1"/>
  <c r="H482" i="54"/>
  <c r="O730" i="59"/>
  <c r="O886" i="59" s="1"/>
  <c r="L730" i="59"/>
  <c r="L886" i="59" s="1"/>
  <c r="J730" i="59"/>
  <c r="J886" i="59" s="1"/>
  <c r="H730" i="59"/>
  <c r="H886" i="59" s="1"/>
  <c r="I730" i="59"/>
  <c r="I886" i="59" s="1"/>
  <c r="K730" i="59"/>
  <c r="K886" i="59" s="1"/>
  <c r="M730" i="59"/>
  <c r="M886" i="59" s="1"/>
  <c r="G730" i="59"/>
  <c r="G886" i="59" s="1"/>
  <c r="N730" i="59"/>
  <c r="N886" i="59" s="1"/>
  <c r="J196" i="67"/>
  <c r="J235" i="67" s="1"/>
  <c r="J664" i="59"/>
  <c r="J820" i="59" s="1"/>
  <c r="N280" i="67"/>
  <c r="N319" i="67" s="1"/>
  <c r="R902" i="59"/>
  <c r="R1058" i="59" s="1"/>
  <c r="J800" i="67"/>
  <c r="O297" i="53"/>
  <c r="K335" i="53" s="1"/>
  <c r="K675" i="59" s="1"/>
  <c r="K831" i="59" s="1"/>
  <c r="J913" i="59"/>
  <c r="J1069" i="59" s="1"/>
  <c r="J291" i="67"/>
  <c r="J330" i="67" s="1"/>
  <c r="L297" i="53"/>
  <c r="J470" i="54"/>
  <c r="P540" i="67"/>
  <c r="P578" i="67" s="1"/>
  <c r="F578" i="67" s="1"/>
  <c r="J486" i="54"/>
  <c r="P556" i="67"/>
  <c r="P594" i="67" s="1"/>
  <c r="F594" i="67" s="1"/>
  <c r="L313" i="53"/>
  <c r="G325" i="53"/>
  <c r="I325" i="53"/>
  <c r="H325" i="53"/>
  <c r="N216" i="67"/>
  <c r="N255" i="67" s="1"/>
  <c r="R684" i="59"/>
  <c r="R840" i="59" s="1"/>
  <c r="S311" i="53"/>
  <c r="M689" i="59" s="1"/>
  <c r="M845" i="59" s="1"/>
  <c r="H484" i="54"/>
  <c r="O429" i="53"/>
  <c r="K467" i="53" s="1"/>
  <c r="K928" i="59" s="1"/>
  <c r="K1084" i="59" s="1"/>
  <c r="J861" i="67"/>
  <c r="F861" i="67" s="1"/>
  <c r="I434" i="53"/>
  <c r="G434" i="53"/>
  <c r="H434" i="53"/>
  <c r="K790" i="67"/>
  <c r="P287" i="53"/>
  <c r="S325" i="53" s="1"/>
  <c r="S665" i="59" s="1"/>
  <c r="S821" i="59" s="1"/>
  <c r="O306" i="53"/>
  <c r="K344" i="53" s="1"/>
  <c r="K684" i="59" s="1"/>
  <c r="K840" i="59" s="1"/>
  <c r="J809" i="67"/>
  <c r="O934" i="59"/>
  <c r="F933" i="59"/>
  <c r="F15" i="59" s="1"/>
  <c r="M168" i="49" s="1"/>
  <c r="G934" i="59"/>
  <c r="I934" i="59"/>
  <c r="L934" i="59"/>
  <c r="K934" i="59"/>
  <c r="J934" i="59"/>
  <c r="N934" i="59"/>
  <c r="H934" i="59"/>
  <c r="M934" i="59"/>
  <c r="Q330" i="53"/>
  <c r="O330" i="53"/>
  <c r="P330" i="53"/>
  <c r="G452" i="53"/>
  <c r="H452" i="53"/>
  <c r="I452" i="53"/>
  <c r="O281" i="53"/>
  <c r="K319" i="53" s="1"/>
  <c r="K659" i="59" s="1"/>
  <c r="K815" i="59" s="1"/>
  <c r="J784" i="67"/>
  <c r="P443" i="53"/>
  <c r="Q443" i="53"/>
  <c r="O443" i="53"/>
  <c r="P454" i="67"/>
  <c r="P492" i="67" s="1"/>
  <c r="F492" i="67" s="1"/>
  <c r="J308" i="54"/>
  <c r="L176" i="53"/>
  <c r="J922" i="59"/>
  <c r="J1078" i="59" s="1"/>
  <c r="J300" i="67"/>
  <c r="J339" i="67" s="1"/>
  <c r="J181" i="59"/>
  <c r="J21" i="67"/>
  <c r="S291" i="53"/>
  <c r="M669" i="59" s="1"/>
  <c r="M825" i="59" s="1"/>
  <c r="H464" i="54"/>
  <c r="S283" i="53"/>
  <c r="M661" i="59" s="1"/>
  <c r="M817" i="59" s="1"/>
  <c r="H456" i="54"/>
  <c r="F456" i="54" s="1"/>
  <c r="F338" i="54" s="1"/>
  <c r="D133" i="49" s="1"/>
  <c r="J938" i="59"/>
  <c r="J1094" i="59" s="1"/>
  <c r="L938" i="59"/>
  <c r="L1094" i="59" s="1"/>
  <c r="M938" i="59"/>
  <c r="M1094" i="59" s="1"/>
  <c r="H938" i="59"/>
  <c r="H1094" i="59" s="1"/>
  <c r="K938" i="59"/>
  <c r="K1094" i="59" s="1"/>
  <c r="G938" i="59"/>
  <c r="G1094" i="59" s="1"/>
  <c r="N938" i="59"/>
  <c r="N1094" i="59" s="1"/>
  <c r="O938" i="59"/>
  <c r="O1094" i="59" s="1"/>
  <c r="I938" i="59"/>
  <c r="I1094" i="59" s="1"/>
  <c r="P223" i="53"/>
  <c r="O223" i="53"/>
  <c r="Q223" i="53"/>
  <c r="P524" i="67"/>
  <c r="P562" i="67" s="1"/>
  <c r="F562" i="67" s="1"/>
  <c r="L281" i="53"/>
  <c r="J454" i="54"/>
  <c r="J318" i="54"/>
  <c r="L186" i="53"/>
  <c r="P464" i="67"/>
  <c r="P502" i="67" s="1"/>
  <c r="F502" i="67" s="1"/>
  <c r="P626" i="67"/>
  <c r="P664" i="67" s="1"/>
  <c r="F664" i="67" s="1"/>
  <c r="L418" i="53"/>
  <c r="J632" i="54"/>
  <c r="G217" i="53"/>
  <c r="I217" i="53"/>
  <c r="H217" i="53"/>
  <c r="G329" i="53"/>
  <c r="I329" i="53"/>
  <c r="H329" i="53"/>
  <c r="P317" i="53"/>
  <c r="O317" i="53"/>
  <c r="Q317" i="53"/>
  <c r="L426" i="53"/>
  <c r="J640" i="54"/>
  <c r="P634" i="67"/>
  <c r="P672" i="67" s="1"/>
  <c r="F672" i="67" s="1"/>
  <c r="P327" i="53"/>
  <c r="O327" i="53"/>
  <c r="Q327" i="53"/>
  <c r="O450" i="53"/>
  <c r="P450" i="53"/>
  <c r="Q450" i="53"/>
  <c r="N476" i="59"/>
  <c r="N632" i="59" s="1"/>
  <c r="I476" i="59"/>
  <c r="I632" i="59" s="1"/>
  <c r="H476" i="59"/>
  <c r="H632" i="59" s="1"/>
  <c r="J476" i="59"/>
  <c r="J632" i="59" s="1"/>
  <c r="L476" i="59"/>
  <c r="L632" i="59" s="1"/>
  <c r="O476" i="59"/>
  <c r="O632" i="59" s="1"/>
  <c r="M476" i="59"/>
  <c r="M632" i="59" s="1"/>
  <c r="K476" i="59"/>
  <c r="K632" i="59" s="1"/>
  <c r="G476" i="59"/>
  <c r="G632" i="59" s="1"/>
  <c r="S416" i="53"/>
  <c r="M915" i="59" s="1"/>
  <c r="M1071" i="59" s="1"/>
  <c r="H630" i="54"/>
  <c r="H961" i="59"/>
  <c r="H1117" i="59" s="1"/>
  <c r="L961" i="59"/>
  <c r="L1117" i="59" s="1"/>
  <c r="N961" i="59"/>
  <c r="N1117" i="59" s="1"/>
  <c r="K961" i="59"/>
  <c r="K1117" i="59" s="1"/>
  <c r="J961" i="59"/>
  <c r="J1117" i="59" s="1"/>
  <c r="O961" i="59"/>
  <c r="O1117" i="59" s="1"/>
  <c r="I961" i="59"/>
  <c r="I1117" i="59" s="1"/>
  <c r="G961" i="59"/>
  <c r="G1117" i="59" s="1"/>
  <c r="M961" i="59"/>
  <c r="M1117" i="59" s="1"/>
  <c r="N303" i="67"/>
  <c r="N342" i="67" s="1"/>
  <c r="R925" i="59"/>
  <c r="R1081" i="59" s="1"/>
  <c r="K967" i="59"/>
  <c r="K1123" i="59" s="1"/>
  <c r="I967" i="59"/>
  <c r="I1123" i="59" s="1"/>
  <c r="L967" i="59"/>
  <c r="L1123" i="59" s="1"/>
  <c r="N967" i="59"/>
  <c r="N1123" i="59" s="1"/>
  <c r="G967" i="59"/>
  <c r="G1123" i="59" s="1"/>
  <c r="O967" i="59"/>
  <c r="O1123" i="59" s="1"/>
  <c r="H967" i="59"/>
  <c r="H1123" i="59" s="1"/>
  <c r="J967" i="59"/>
  <c r="J1123" i="59" s="1"/>
  <c r="M967" i="59"/>
  <c r="M1123" i="59" s="1"/>
  <c r="R453" i="59"/>
  <c r="R609" i="59" s="1"/>
  <c r="N139" i="67"/>
  <c r="N178" i="67" s="1"/>
  <c r="P304" i="53"/>
  <c r="S342" i="53" s="1"/>
  <c r="S682" i="59" s="1"/>
  <c r="S838" i="59" s="1"/>
  <c r="K807" i="67"/>
  <c r="J622" i="54"/>
  <c r="P616" i="67"/>
  <c r="P654" i="67" s="1"/>
  <c r="F654" i="67" s="1"/>
  <c r="L408" i="53"/>
  <c r="L721" i="59"/>
  <c r="L877" i="59" s="1"/>
  <c r="I721" i="59"/>
  <c r="I877" i="59" s="1"/>
  <c r="N721" i="59"/>
  <c r="N877" i="59" s="1"/>
  <c r="O721" i="59"/>
  <c r="O877" i="59" s="1"/>
  <c r="M721" i="59"/>
  <c r="M877" i="59" s="1"/>
  <c r="G721" i="59"/>
  <c r="G877" i="59" s="1"/>
  <c r="K721" i="59"/>
  <c r="K877" i="59" s="1"/>
  <c r="H721" i="59"/>
  <c r="H877" i="59" s="1"/>
  <c r="J721" i="59"/>
  <c r="J877" i="59" s="1"/>
  <c r="P184" i="53"/>
  <c r="S222" i="53" s="1"/>
  <c r="S441" i="59" s="1"/>
  <c r="S597" i="59" s="1"/>
  <c r="K758" i="67"/>
  <c r="Q463" i="53"/>
  <c r="O463" i="53"/>
  <c r="P463" i="53"/>
  <c r="R929" i="59"/>
  <c r="R1085" i="59" s="1"/>
  <c r="N307" i="67"/>
  <c r="N346" i="67" s="1"/>
  <c r="O423" i="53"/>
  <c r="K461" i="53" s="1"/>
  <c r="K922" i="59" s="1"/>
  <c r="K1078" i="59" s="1"/>
  <c r="J855" i="67"/>
  <c r="F855" i="67" s="1"/>
  <c r="P321" i="53"/>
  <c r="O321" i="53"/>
  <c r="Q321" i="53"/>
  <c r="S399" i="53"/>
  <c r="M898" i="59" s="1"/>
  <c r="M1054" i="59" s="1"/>
  <c r="H613" i="54"/>
  <c r="J200" i="67"/>
  <c r="J239" i="67" s="1"/>
  <c r="J668" i="59"/>
  <c r="J824" i="59" s="1"/>
  <c r="L428" i="53"/>
  <c r="P636" i="67"/>
  <c r="P674" i="67" s="1"/>
  <c r="F674" i="67" s="1"/>
  <c r="J642" i="54"/>
  <c r="O346" i="53"/>
  <c r="P346" i="53"/>
  <c r="Q346" i="53"/>
  <c r="J485" i="54"/>
  <c r="L312" i="53"/>
  <c r="P555" i="67"/>
  <c r="P593" i="67" s="1"/>
  <c r="F593" i="67" s="1"/>
  <c r="J764" i="67"/>
  <c r="F764" i="67" s="1"/>
  <c r="O190" i="53"/>
  <c r="K228" i="53" s="1"/>
  <c r="K447" i="59" s="1"/>
  <c r="K603" i="59" s="1"/>
  <c r="P630" i="67"/>
  <c r="P668" i="67" s="1"/>
  <c r="F668" i="67" s="1"/>
  <c r="L422" i="53"/>
  <c r="J636" i="54"/>
  <c r="H462" i="54"/>
  <c r="F462" i="54" s="1"/>
  <c r="F344" i="54" s="1"/>
  <c r="D139" i="49" s="1"/>
  <c r="S289" i="53"/>
  <c r="M667" i="59" s="1"/>
  <c r="M823" i="59" s="1"/>
  <c r="K847" i="67"/>
  <c r="P415" i="53"/>
  <c r="S453" i="53" s="1"/>
  <c r="S914" i="59" s="1"/>
  <c r="S1070" i="59" s="1"/>
  <c r="H700" i="59"/>
  <c r="H856" i="59" s="1"/>
  <c r="I700" i="59"/>
  <c r="I856" i="59" s="1"/>
  <c r="G700" i="59"/>
  <c r="G856" i="59" s="1"/>
  <c r="M700" i="59"/>
  <c r="M856" i="59" s="1"/>
  <c r="L700" i="59"/>
  <c r="L856" i="59" s="1"/>
  <c r="N700" i="59"/>
  <c r="N856" i="59" s="1"/>
  <c r="J700" i="59"/>
  <c r="J856" i="59" s="1"/>
  <c r="K700" i="59"/>
  <c r="K856" i="59" s="1"/>
  <c r="O700" i="59"/>
  <c r="O856" i="59" s="1"/>
  <c r="J706" i="67"/>
  <c r="O61" i="53"/>
  <c r="K99" i="53" s="1"/>
  <c r="K197" i="59" s="1"/>
  <c r="K353" i="59" s="1"/>
  <c r="N53" i="67"/>
  <c r="N92" i="67" s="1"/>
  <c r="R213" i="59"/>
  <c r="R369" i="59" s="1"/>
  <c r="J188" i="59"/>
  <c r="J344" i="59" s="1"/>
  <c r="J28" i="67"/>
  <c r="J67" i="67" s="1"/>
  <c r="L169" i="53"/>
  <c r="J301" i="54"/>
  <c r="P447" i="67"/>
  <c r="P485" i="67" s="1"/>
  <c r="F485" i="67" s="1"/>
  <c r="O96" i="53"/>
  <c r="P96" i="53"/>
  <c r="Q96" i="53"/>
  <c r="J212" i="59"/>
  <c r="J368" i="59" s="1"/>
  <c r="J52" i="67"/>
  <c r="J91" i="67" s="1"/>
  <c r="G107" i="53"/>
  <c r="I107" i="53"/>
  <c r="H107" i="53"/>
  <c r="H137" i="54"/>
  <c r="S46" i="53"/>
  <c r="M182" i="59" s="1"/>
  <c r="M338" i="59" s="1"/>
  <c r="I109" i="53"/>
  <c r="G109" i="53"/>
  <c r="H109" i="53"/>
  <c r="M245" i="59"/>
  <c r="M401" i="59" s="1"/>
  <c r="I245" i="59"/>
  <c r="I401" i="59" s="1"/>
  <c r="N245" i="59"/>
  <c r="N401" i="59" s="1"/>
  <c r="K245" i="59"/>
  <c r="K401" i="59" s="1"/>
  <c r="L245" i="59"/>
  <c r="L401" i="59" s="1"/>
  <c r="O245" i="59"/>
  <c r="O401" i="59" s="1"/>
  <c r="G245" i="59"/>
  <c r="G401" i="59" s="1"/>
  <c r="J245" i="59"/>
  <c r="J401" i="59" s="1"/>
  <c r="H245" i="59"/>
  <c r="H401" i="59" s="1"/>
  <c r="G204" i="53"/>
  <c r="I204" i="53"/>
  <c r="H204" i="53"/>
  <c r="O59" i="53"/>
  <c r="K97" i="53" s="1"/>
  <c r="K195" i="59" s="1"/>
  <c r="K351" i="59" s="1"/>
  <c r="J704" i="67"/>
  <c r="G234" i="59"/>
  <c r="G390" i="59" s="1"/>
  <c r="J234" i="59"/>
  <c r="J390" i="59" s="1"/>
  <c r="O234" i="59"/>
  <c r="O390" i="59" s="1"/>
  <c r="H234" i="59"/>
  <c r="H390" i="59" s="1"/>
  <c r="K234" i="59"/>
  <c r="K390" i="59" s="1"/>
  <c r="M234" i="59"/>
  <c r="M390" i="59" s="1"/>
  <c r="L234" i="59"/>
  <c r="L390" i="59" s="1"/>
  <c r="N234" i="59"/>
  <c r="N390" i="59" s="1"/>
  <c r="I234" i="59"/>
  <c r="I390" i="59" s="1"/>
  <c r="N27" i="67"/>
  <c r="N66" i="67" s="1"/>
  <c r="R187" i="59"/>
  <c r="R343" i="59" s="1"/>
  <c r="H225" i="59"/>
  <c r="H381" i="59" s="1"/>
  <c r="J225" i="59"/>
  <c r="J381" i="59" s="1"/>
  <c r="I225" i="59"/>
  <c r="I381" i="59" s="1"/>
  <c r="O225" i="59"/>
  <c r="O381" i="59" s="1"/>
  <c r="N225" i="59"/>
  <c r="N381" i="59" s="1"/>
  <c r="M225" i="59"/>
  <c r="M381" i="59" s="1"/>
  <c r="L225" i="59"/>
  <c r="L381" i="59" s="1"/>
  <c r="K225" i="59"/>
  <c r="K381" i="59" s="1"/>
  <c r="G225" i="59"/>
  <c r="G381" i="59" s="1"/>
  <c r="P388" i="67"/>
  <c r="P426" i="67" s="1"/>
  <c r="F426" i="67" s="1"/>
  <c r="L75" i="53"/>
  <c r="J166" i="54"/>
  <c r="P45" i="53"/>
  <c r="S83" i="53" s="1"/>
  <c r="S181" i="59" s="1"/>
  <c r="K690" i="67"/>
  <c r="J209" i="59"/>
  <c r="J365" i="59" s="1"/>
  <c r="J49" i="67"/>
  <c r="J88" i="67" s="1"/>
  <c r="J199" i="59"/>
  <c r="J355" i="59" s="1"/>
  <c r="J39" i="67"/>
  <c r="J78" i="67" s="1"/>
  <c r="H145" i="54"/>
  <c r="S54" i="53"/>
  <c r="M190" i="59" s="1"/>
  <c r="M346" i="59" s="1"/>
  <c r="O69" i="53"/>
  <c r="K107" i="53" s="1"/>
  <c r="K205" i="59" s="1"/>
  <c r="K361" i="59" s="1"/>
  <c r="J714" i="67"/>
  <c r="H303" i="54"/>
  <c r="S171" i="53"/>
  <c r="M428" i="59" s="1"/>
  <c r="M584" i="59" s="1"/>
  <c r="G231" i="59"/>
  <c r="G387" i="59" s="1"/>
  <c r="J231" i="59"/>
  <c r="J387" i="59" s="1"/>
  <c r="I231" i="59"/>
  <c r="I387" i="59" s="1"/>
  <c r="M231" i="59"/>
  <c r="M387" i="59" s="1"/>
  <c r="H231" i="59"/>
  <c r="H387" i="59" s="1"/>
  <c r="L231" i="59"/>
  <c r="L387" i="59" s="1"/>
  <c r="K231" i="59"/>
  <c r="K387" i="59" s="1"/>
  <c r="O231" i="59"/>
  <c r="O387" i="59" s="1"/>
  <c r="N231" i="59"/>
  <c r="N387" i="59" s="1"/>
  <c r="K701" i="67"/>
  <c r="P56" i="53"/>
  <c r="S94" i="53" s="1"/>
  <c r="S192" i="59" s="1"/>
  <c r="S348" i="59" s="1"/>
  <c r="J215" i="59"/>
  <c r="J371" i="59" s="1"/>
  <c r="J55" i="67"/>
  <c r="J94" i="67" s="1"/>
  <c r="P76" i="53"/>
  <c r="S114" i="53" s="1"/>
  <c r="S212" i="59" s="1"/>
  <c r="S368" i="59" s="1"/>
  <c r="K721" i="67"/>
  <c r="P210" i="53"/>
  <c r="Q210" i="53"/>
  <c r="O210" i="53"/>
  <c r="Q91" i="53"/>
  <c r="P91" i="53"/>
  <c r="O91" i="53"/>
  <c r="L60" i="53"/>
  <c r="P373" i="67"/>
  <c r="P411" i="67" s="1"/>
  <c r="F411" i="67" s="1"/>
  <c r="J151" i="54"/>
  <c r="N55" i="67"/>
  <c r="N94" i="67" s="1"/>
  <c r="R215" i="59"/>
  <c r="R371" i="59" s="1"/>
  <c r="L72" i="53"/>
  <c r="J163" i="54"/>
  <c r="P385" i="67"/>
  <c r="P423" i="67" s="1"/>
  <c r="F423" i="67" s="1"/>
  <c r="L172" i="53"/>
  <c r="J304" i="54"/>
  <c r="P450" i="67"/>
  <c r="P488" i="67" s="1"/>
  <c r="F488" i="67" s="1"/>
  <c r="I233" i="59"/>
  <c r="I389" i="59" s="1"/>
  <c r="J233" i="59"/>
  <c r="J389" i="59" s="1"/>
  <c r="G233" i="59"/>
  <c r="G389" i="59" s="1"/>
  <c r="O233" i="59"/>
  <c r="O389" i="59" s="1"/>
  <c r="N233" i="59"/>
  <c r="N389" i="59" s="1"/>
  <c r="M233" i="59"/>
  <c r="M389" i="59" s="1"/>
  <c r="K233" i="59"/>
  <c r="K389" i="59" s="1"/>
  <c r="L233" i="59"/>
  <c r="L389" i="59" s="1"/>
  <c r="H233" i="59"/>
  <c r="H389" i="59" s="1"/>
  <c r="O64" i="53"/>
  <c r="K102" i="53" s="1"/>
  <c r="K200" i="59" s="1"/>
  <c r="K356" i="59" s="1"/>
  <c r="J709" i="67"/>
  <c r="I98" i="53"/>
  <c r="G98" i="53"/>
  <c r="H98" i="53"/>
  <c r="J26" i="67"/>
  <c r="J65" i="67" s="1"/>
  <c r="J186" i="59"/>
  <c r="J342" i="59" s="1"/>
  <c r="O53" i="53"/>
  <c r="K91" i="53" s="1"/>
  <c r="K189" i="59" s="1"/>
  <c r="K345" i="59" s="1"/>
  <c r="J698" i="67"/>
  <c r="S77" i="53"/>
  <c r="M213" i="59" s="1"/>
  <c r="M369" i="59" s="1"/>
  <c r="H168" i="54"/>
  <c r="P173" i="53"/>
  <c r="S211" i="53" s="1"/>
  <c r="S430" i="59" s="1"/>
  <c r="S586" i="59" s="1"/>
  <c r="K747" i="67"/>
  <c r="L478" i="67"/>
  <c r="L439" i="67"/>
  <c r="L477" i="67" s="1"/>
  <c r="I213" i="53"/>
  <c r="G213" i="53"/>
  <c r="H213" i="53"/>
  <c r="Q98" i="53"/>
  <c r="P98" i="53"/>
  <c r="O98" i="53"/>
  <c r="J124" i="67"/>
  <c r="J163" i="67" s="1"/>
  <c r="J438" i="59"/>
  <c r="J594" i="59" s="1"/>
  <c r="O78" i="53"/>
  <c r="K116" i="53" s="1"/>
  <c r="K214" i="59" s="1"/>
  <c r="K370" i="59" s="1"/>
  <c r="J723" i="67"/>
  <c r="J702" i="67"/>
  <c r="O57" i="53"/>
  <c r="K95" i="53" s="1"/>
  <c r="K193" i="59" s="1"/>
  <c r="K349" i="59" s="1"/>
  <c r="P60" i="53"/>
  <c r="S98" i="53" s="1"/>
  <c r="S196" i="59" s="1"/>
  <c r="S352" i="59" s="1"/>
  <c r="K705" i="67"/>
  <c r="P106" i="53"/>
  <c r="O106" i="53"/>
  <c r="Q106" i="53"/>
  <c r="P53" i="53"/>
  <c r="S91" i="53" s="1"/>
  <c r="S189" i="59" s="1"/>
  <c r="S345" i="59" s="1"/>
  <c r="K698" i="67"/>
  <c r="S164" i="53"/>
  <c r="M421" i="59" s="1"/>
  <c r="M577" i="59" s="1"/>
  <c r="H296" i="54"/>
  <c r="N126" i="67"/>
  <c r="N165" i="67" s="1"/>
  <c r="R440" i="59"/>
  <c r="R596" i="59" s="1"/>
  <c r="L465" i="59"/>
  <c r="L621" i="59" s="1"/>
  <c r="O465" i="59"/>
  <c r="O621" i="59" s="1"/>
  <c r="K465" i="59"/>
  <c r="K621" i="59" s="1"/>
  <c r="J465" i="59"/>
  <c r="J621" i="59" s="1"/>
  <c r="G465" i="59"/>
  <c r="G621" i="59" s="1"/>
  <c r="H465" i="59"/>
  <c r="H621" i="59" s="1"/>
  <c r="I465" i="59"/>
  <c r="I621" i="59" s="1"/>
  <c r="N465" i="59"/>
  <c r="N621" i="59" s="1"/>
  <c r="M465" i="59"/>
  <c r="M621" i="59" s="1"/>
  <c r="J432" i="59"/>
  <c r="J588" i="59" s="1"/>
  <c r="J118" i="67"/>
  <c r="J157" i="67" s="1"/>
  <c r="R425" i="59"/>
  <c r="R581" i="59" s="1"/>
  <c r="N111" i="67"/>
  <c r="N150" i="67" s="1"/>
  <c r="L70" i="53"/>
  <c r="P383" i="67"/>
  <c r="P421" i="67" s="1"/>
  <c r="F421" i="67" s="1"/>
  <c r="J161" i="54"/>
  <c r="J691" i="67"/>
  <c r="O46" i="53"/>
  <c r="K84" i="53" s="1"/>
  <c r="K182" i="59" s="1"/>
  <c r="K338" i="59" s="1"/>
  <c r="P455" i="67"/>
  <c r="P493" i="67" s="1"/>
  <c r="F493" i="67" s="1"/>
  <c r="L177" i="53"/>
  <c r="J309" i="54"/>
  <c r="L73" i="53"/>
  <c r="P386" i="67"/>
  <c r="P424" i="67" s="1"/>
  <c r="F424" i="67" s="1"/>
  <c r="J164" i="54"/>
  <c r="K696" i="67"/>
  <c r="P51" i="53"/>
  <c r="S89" i="53" s="1"/>
  <c r="S187" i="59" s="1"/>
  <c r="S343" i="59" s="1"/>
  <c r="H315" i="54"/>
  <c r="S183" i="53"/>
  <c r="M440" i="59" s="1"/>
  <c r="M596" i="59" s="1"/>
  <c r="O252" i="59"/>
  <c r="O408" i="59" s="1"/>
  <c r="N252" i="59"/>
  <c r="N408" i="59" s="1"/>
  <c r="G252" i="59"/>
  <c r="G408" i="59" s="1"/>
  <c r="M252" i="59"/>
  <c r="M408" i="59" s="1"/>
  <c r="K252" i="59"/>
  <c r="K408" i="59" s="1"/>
  <c r="J252" i="59"/>
  <c r="J408" i="59" s="1"/>
  <c r="I252" i="59"/>
  <c r="I408" i="59" s="1"/>
  <c r="H252" i="59"/>
  <c r="H408" i="59" s="1"/>
  <c r="L252" i="59"/>
  <c r="L408" i="59" s="1"/>
  <c r="R430" i="59"/>
  <c r="R586" i="59" s="1"/>
  <c r="N116" i="67"/>
  <c r="N155" i="67" s="1"/>
  <c r="P225" i="53"/>
  <c r="Q225" i="53"/>
  <c r="O225" i="53"/>
  <c r="H317" i="54"/>
  <c r="S185" i="53"/>
  <c r="M442" i="59" s="1"/>
  <c r="M598" i="59" s="1"/>
  <c r="K755" i="67"/>
  <c r="P181" i="53"/>
  <c r="S219" i="53" s="1"/>
  <c r="S438" i="59" s="1"/>
  <c r="S594" i="59" s="1"/>
  <c r="M439" i="67"/>
  <c r="M477" i="67" s="1"/>
  <c r="M478" i="67"/>
  <c r="J321" i="54"/>
  <c r="L189" i="53"/>
  <c r="P467" i="67"/>
  <c r="P505" i="67" s="1"/>
  <c r="F505" i="67" s="1"/>
  <c r="J254" i="59"/>
  <c r="J410" i="59" s="1"/>
  <c r="H254" i="59"/>
  <c r="H410" i="59" s="1"/>
  <c r="I254" i="59"/>
  <c r="I410" i="59" s="1"/>
  <c r="O254" i="59"/>
  <c r="O410" i="59" s="1"/>
  <c r="K254" i="59"/>
  <c r="K410" i="59" s="1"/>
  <c r="L254" i="59"/>
  <c r="L410" i="59" s="1"/>
  <c r="N254" i="59"/>
  <c r="N410" i="59" s="1"/>
  <c r="M254" i="59"/>
  <c r="M410" i="59" s="1"/>
  <c r="G254" i="59"/>
  <c r="G410" i="59" s="1"/>
  <c r="K739" i="67"/>
  <c r="P165" i="53"/>
  <c r="S203" i="53" s="1"/>
  <c r="S422" i="59" s="1"/>
  <c r="S578" i="59" s="1"/>
  <c r="K765" i="67"/>
  <c r="P191" i="53"/>
  <c r="S229" i="53" s="1"/>
  <c r="S448" i="59" s="1"/>
  <c r="S604" i="59" s="1"/>
  <c r="O332" i="53"/>
  <c r="Q332" i="53"/>
  <c r="P332" i="53"/>
  <c r="J446" i="59"/>
  <c r="J602" i="59" s="1"/>
  <c r="J132" i="67"/>
  <c r="J171" i="67" s="1"/>
  <c r="K793" i="67"/>
  <c r="P290" i="53"/>
  <c r="S328" i="53" s="1"/>
  <c r="S668" i="59" s="1"/>
  <c r="S824" i="59" s="1"/>
  <c r="I326" i="53"/>
  <c r="G326" i="53"/>
  <c r="H326" i="53"/>
  <c r="P212" i="53"/>
  <c r="Q212" i="53"/>
  <c r="O212" i="53"/>
  <c r="J206" i="67"/>
  <c r="J245" i="67" s="1"/>
  <c r="J674" i="59"/>
  <c r="J830" i="59" s="1"/>
  <c r="N487" i="59"/>
  <c r="N643" i="59" s="1"/>
  <c r="K487" i="59"/>
  <c r="K643" i="59" s="1"/>
  <c r="G487" i="59"/>
  <c r="G643" i="59" s="1"/>
  <c r="J487" i="59"/>
  <c r="J643" i="59" s="1"/>
  <c r="O487" i="59"/>
  <c r="O643" i="59" s="1"/>
  <c r="I487" i="59"/>
  <c r="I643" i="59" s="1"/>
  <c r="M487" i="59"/>
  <c r="M643" i="59" s="1"/>
  <c r="H487" i="59"/>
  <c r="H643" i="59" s="1"/>
  <c r="L487" i="59"/>
  <c r="L643" i="59" s="1"/>
  <c r="S295" i="53"/>
  <c r="M673" i="59" s="1"/>
  <c r="M829" i="59" s="1"/>
  <c r="H468" i="54"/>
  <c r="J214" i="67"/>
  <c r="J253" i="67" s="1"/>
  <c r="J682" i="59"/>
  <c r="J838" i="59" s="1"/>
  <c r="L285" i="53"/>
  <c r="P528" i="67"/>
  <c r="P566" i="67" s="1"/>
  <c r="F566" i="67" s="1"/>
  <c r="J458" i="54"/>
  <c r="R672" i="59"/>
  <c r="R828" i="59" s="1"/>
  <c r="N204" i="67"/>
  <c r="N243" i="67" s="1"/>
  <c r="K766" i="67"/>
  <c r="P192" i="53"/>
  <c r="S230" i="53" s="1"/>
  <c r="S449" i="59" s="1"/>
  <c r="S605" i="59" s="1"/>
  <c r="O284" i="53"/>
  <c r="K322" i="53" s="1"/>
  <c r="K662" i="59" s="1"/>
  <c r="K818" i="59" s="1"/>
  <c r="J787" i="67"/>
  <c r="T656" i="59"/>
  <c r="T813" i="59"/>
  <c r="T812" i="59" s="1"/>
  <c r="G351" i="53"/>
  <c r="I351" i="53"/>
  <c r="H351" i="53"/>
  <c r="K795" i="67"/>
  <c r="P292" i="53"/>
  <c r="S330" i="53" s="1"/>
  <c r="S670" i="59" s="1"/>
  <c r="S826" i="59" s="1"/>
  <c r="O341" i="53"/>
  <c r="P341" i="53"/>
  <c r="Q341" i="53"/>
  <c r="O349" i="53"/>
  <c r="P349" i="53"/>
  <c r="Q349" i="53"/>
  <c r="J625" i="54"/>
  <c r="P619" i="67"/>
  <c r="P657" i="67" s="1"/>
  <c r="F657" i="67" s="1"/>
  <c r="L411" i="53"/>
  <c r="S305" i="53"/>
  <c r="M683" i="59" s="1"/>
  <c r="M839" i="59" s="1"/>
  <c r="H478" i="54"/>
  <c r="O642" i="67"/>
  <c r="O603" i="67"/>
  <c r="O641" i="67" s="1"/>
  <c r="H448" i="53"/>
  <c r="G448" i="53"/>
  <c r="I448" i="53"/>
  <c r="J853" i="67"/>
  <c r="O421" i="53"/>
  <c r="K459" i="53" s="1"/>
  <c r="K920" i="59" s="1"/>
  <c r="K1076" i="59" s="1"/>
  <c r="L195" i="53"/>
  <c r="P473" i="67"/>
  <c r="P511" i="67" s="1"/>
  <c r="F511" i="67" s="1"/>
  <c r="J327" i="54"/>
  <c r="P414" i="53"/>
  <c r="S452" i="53" s="1"/>
  <c r="S913" i="59" s="1"/>
  <c r="S1069" i="59" s="1"/>
  <c r="K846" i="67"/>
  <c r="O302" i="53"/>
  <c r="K340" i="53" s="1"/>
  <c r="K680" i="59" s="1"/>
  <c r="K836" i="59" s="1"/>
  <c r="J805" i="67"/>
  <c r="F805" i="67" s="1"/>
  <c r="O402" i="53"/>
  <c r="K440" i="53" s="1"/>
  <c r="K901" i="59" s="1"/>
  <c r="K1057" i="59" s="1"/>
  <c r="J834" i="67"/>
  <c r="J663" i="59"/>
  <c r="J819" i="59" s="1"/>
  <c r="J195" i="67"/>
  <c r="J234" i="67" s="1"/>
  <c r="O446" i="53"/>
  <c r="Q446" i="53"/>
  <c r="P446" i="53"/>
  <c r="J292" i="67"/>
  <c r="J331" i="67" s="1"/>
  <c r="J914" i="59"/>
  <c r="J1070" i="59" s="1"/>
  <c r="N278" i="67"/>
  <c r="N317" i="67" s="1"/>
  <c r="R900" i="59"/>
  <c r="R1056" i="59" s="1"/>
  <c r="J483" i="59"/>
  <c r="J639" i="59" s="1"/>
  <c r="K483" i="59"/>
  <c r="K639" i="59" s="1"/>
  <c r="M483" i="59"/>
  <c r="M639" i="59" s="1"/>
  <c r="H483" i="59"/>
  <c r="H639" i="59" s="1"/>
  <c r="O483" i="59"/>
  <c r="O639" i="59" s="1"/>
  <c r="L483" i="59"/>
  <c r="L639" i="59" s="1"/>
  <c r="N483" i="59"/>
  <c r="N639" i="59" s="1"/>
  <c r="G483" i="59"/>
  <c r="G639" i="59" s="1"/>
  <c r="I483" i="59"/>
  <c r="I639" i="59" s="1"/>
  <c r="L298" i="53"/>
  <c r="J471" i="54"/>
  <c r="P541" i="67"/>
  <c r="P579" i="67" s="1"/>
  <c r="F579" i="67" s="1"/>
  <c r="M642" i="67"/>
  <c r="M603" i="67"/>
  <c r="M641" i="67" s="1"/>
  <c r="R666" i="59"/>
  <c r="R822" i="59" s="1"/>
  <c r="N198" i="67"/>
  <c r="N237" i="67" s="1"/>
  <c r="J479" i="54"/>
  <c r="L306" i="53"/>
  <c r="P549" i="67"/>
  <c r="P587" i="67" s="1"/>
  <c r="F587" i="67" s="1"/>
  <c r="P428" i="53"/>
  <c r="S466" i="53" s="1"/>
  <c r="S927" i="59" s="1"/>
  <c r="S1083" i="59" s="1"/>
  <c r="K860" i="67"/>
  <c r="I438" i="53"/>
  <c r="G438" i="53"/>
  <c r="H438" i="53"/>
  <c r="P310" i="53"/>
  <c r="S348" i="53" s="1"/>
  <c r="S688" i="59" s="1"/>
  <c r="S844" i="59" s="1"/>
  <c r="K813" i="67"/>
  <c r="J192" i="67"/>
  <c r="J231" i="67" s="1"/>
  <c r="J660" i="59"/>
  <c r="J816" i="59" s="1"/>
  <c r="O400" i="53"/>
  <c r="K438" i="53" s="1"/>
  <c r="K899" i="59" s="1"/>
  <c r="K1055" i="59" s="1"/>
  <c r="J832" i="67"/>
  <c r="J946" i="59"/>
  <c r="J1102" i="59" s="1"/>
  <c r="N946" i="59"/>
  <c r="N1102" i="59" s="1"/>
  <c r="K946" i="59"/>
  <c r="K1102" i="59" s="1"/>
  <c r="O946" i="59"/>
  <c r="O1102" i="59" s="1"/>
  <c r="H946" i="59"/>
  <c r="H1102" i="59" s="1"/>
  <c r="I946" i="59"/>
  <c r="I1102" i="59" s="1"/>
  <c r="M946" i="59"/>
  <c r="M1102" i="59" s="1"/>
  <c r="G946" i="59"/>
  <c r="G1102" i="59" s="1"/>
  <c r="L946" i="59"/>
  <c r="L1102" i="59" s="1"/>
  <c r="H341" i="53"/>
  <c r="I341" i="53"/>
  <c r="G341" i="53"/>
  <c r="O453" i="53"/>
  <c r="Q453" i="53"/>
  <c r="P453" i="53"/>
  <c r="H321" i="53"/>
  <c r="I321" i="53"/>
  <c r="G321" i="53"/>
  <c r="J806" i="67"/>
  <c r="O303" i="53"/>
  <c r="K341" i="53" s="1"/>
  <c r="K681" i="59" s="1"/>
  <c r="K837" i="59" s="1"/>
  <c r="J847" i="67"/>
  <c r="F847" i="67" s="1"/>
  <c r="O415" i="53"/>
  <c r="K453" i="53" s="1"/>
  <c r="K914" i="59" s="1"/>
  <c r="K1070" i="59" s="1"/>
  <c r="J221" i="67"/>
  <c r="J260" i="67" s="1"/>
  <c r="J689" i="59"/>
  <c r="J845" i="59" s="1"/>
  <c r="N193" i="67"/>
  <c r="N232" i="67" s="1"/>
  <c r="R661" i="59"/>
  <c r="R817" i="59" s="1"/>
  <c r="P294" i="53"/>
  <c r="S332" i="53" s="1"/>
  <c r="S672" i="59" s="1"/>
  <c r="S828" i="59" s="1"/>
  <c r="K797" i="67"/>
  <c r="P311" i="53"/>
  <c r="S349" i="53" s="1"/>
  <c r="S689" i="59" s="1"/>
  <c r="S845" i="59" s="1"/>
  <c r="K814" i="67"/>
  <c r="H479" i="54"/>
  <c r="S306" i="53"/>
  <c r="M684" i="59" s="1"/>
  <c r="M840" i="59" s="1"/>
  <c r="J451" i="59"/>
  <c r="J607" i="59" s="1"/>
  <c r="J137" i="67"/>
  <c r="J176" i="67" s="1"/>
  <c r="O311" i="53"/>
  <c r="K349" i="53" s="1"/>
  <c r="K689" i="59" s="1"/>
  <c r="K845" i="59" s="1"/>
  <c r="J814" i="67"/>
  <c r="J306" i="67"/>
  <c r="J345" i="67" s="1"/>
  <c r="J928" i="59"/>
  <c r="J1084" i="59" s="1"/>
  <c r="J911" i="59"/>
  <c r="J1067" i="59" s="1"/>
  <c r="J289" i="67"/>
  <c r="J328" i="67" s="1"/>
  <c r="H327" i="54"/>
  <c r="S195" i="53"/>
  <c r="M452" i="59" s="1"/>
  <c r="M608" i="59" s="1"/>
  <c r="I958" i="59"/>
  <c r="I1114" i="59" s="1"/>
  <c r="G958" i="59"/>
  <c r="G1114" i="59" s="1"/>
  <c r="K958" i="59"/>
  <c r="K1114" i="59" s="1"/>
  <c r="N958" i="59"/>
  <c r="N1114" i="59" s="1"/>
  <c r="J958" i="59"/>
  <c r="J1114" i="59" s="1"/>
  <c r="L958" i="59"/>
  <c r="L1114" i="59" s="1"/>
  <c r="H958" i="59"/>
  <c r="H1114" i="59" s="1"/>
  <c r="O958" i="59"/>
  <c r="O1114" i="59" s="1"/>
  <c r="M958" i="59"/>
  <c r="M1114" i="59" s="1"/>
  <c r="N189" i="67"/>
  <c r="R657" i="59"/>
  <c r="K560" i="67"/>
  <c r="K521" i="67"/>
  <c r="K559" i="67" s="1"/>
  <c r="H473" i="54"/>
  <c r="S300" i="53"/>
  <c r="M678" i="59" s="1"/>
  <c r="M834" i="59" s="1"/>
  <c r="G445" i="53"/>
  <c r="H445" i="53"/>
  <c r="I445" i="53"/>
  <c r="J290" i="67"/>
  <c r="J329" i="67" s="1"/>
  <c r="J912" i="59"/>
  <c r="J1068" i="59" s="1"/>
  <c r="R920" i="59"/>
  <c r="R1076" i="59" s="1"/>
  <c r="N298" i="67"/>
  <c r="N337" i="67" s="1"/>
  <c r="J138" i="67"/>
  <c r="J177" i="67" s="1"/>
  <c r="J452" i="59"/>
  <c r="J608" i="59" s="1"/>
  <c r="L404" i="53"/>
  <c r="J618" i="54"/>
  <c r="P612" i="67"/>
  <c r="P650" i="67" s="1"/>
  <c r="F650" i="67" s="1"/>
  <c r="R928" i="59"/>
  <c r="R1084" i="59" s="1"/>
  <c r="N306" i="67"/>
  <c r="N345" i="67" s="1"/>
  <c r="O73" i="53"/>
  <c r="K111" i="53" s="1"/>
  <c r="K209" i="59" s="1"/>
  <c r="K365" i="59" s="1"/>
  <c r="J718" i="67"/>
  <c r="J793" i="67"/>
  <c r="O290" i="53"/>
  <c r="K328" i="53" s="1"/>
  <c r="K668" i="59" s="1"/>
  <c r="K824" i="59" s="1"/>
  <c r="K763" i="67"/>
  <c r="P189" i="53"/>
  <c r="S227" i="53" s="1"/>
  <c r="S446" i="59" s="1"/>
  <c r="S602" i="59" s="1"/>
  <c r="J276" i="67"/>
  <c r="J315" i="67" s="1"/>
  <c r="J898" i="59"/>
  <c r="J1054" i="59" s="1"/>
  <c r="P101" i="53"/>
  <c r="Q101" i="53"/>
  <c r="O101" i="53"/>
  <c r="O460" i="53"/>
  <c r="Q460" i="53"/>
  <c r="P460" i="53"/>
  <c r="S192" i="53"/>
  <c r="M449" i="59" s="1"/>
  <c r="M605" i="59" s="1"/>
  <c r="H324" i="54"/>
  <c r="H617" i="54"/>
  <c r="S403" i="53"/>
  <c r="M902" i="59" s="1"/>
  <c r="M1058" i="59" s="1"/>
  <c r="R676" i="59"/>
  <c r="R832" i="59" s="1"/>
  <c r="N208" i="67"/>
  <c r="N247" i="67" s="1"/>
  <c r="S78" i="53"/>
  <c r="M214" i="59" s="1"/>
  <c r="M370" i="59" s="1"/>
  <c r="H169" i="54"/>
  <c r="S422" i="53"/>
  <c r="M921" i="59" s="1"/>
  <c r="M1077" i="59" s="1"/>
  <c r="H636" i="54"/>
  <c r="F636" i="54" s="1"/>
  <c r="F518" i="54" s="1"/>
  <c r="D197" i="49" s="1"/>
  <c r="K197" i="49" s="1"/>
  <c r="H458" i="53"/>
  <c r="G458" i="53"/>
  <c r="I458" i="53"/>
  <c r="J856" i="67"/>
  <c r="O424" i="53"/>
  <c r="K462" i="53" s="1"/>
  <c r="K923" i="59" s="1"/>
  <c r="K1079" i="59" s="1"/>
  <c r="G455" i="53"/>
  <c r="H455" i="53"/>
  <c r="I455" i="53"/>
  <c r="I466" i="53"/>
  <c r="G466" i="53"/>
  <c r="H466" i="53"/>
  <c r="G959" i="59"/>
  <c r="G1115" i="59" s="1"/>
  <c r="O959" i="59"/>
  <c r="O1115" i="59" s="1"/>
  <c r="N959" i="59"/>
  <c r="N1115" i="59" s="1"/>
  <c r="L959" i="59"/>
  <c r="L1115" i="59" s="1"/>
  <c r="M959" i="59"/>
  <c r="M1115" i="59" s="1"/>
  <c r="H959" i="59"/>
  <c r="H1115" i="59" s="1"/>
  <c r="I959" i="59"/>
  <c r="I1115" i="59" s="1"/>
  <c r="K959" i="59"/>
  <c r="K1115" i="59" s="1"/>
  <c r="J959" i="59"/>
  <c r="J1115" i="59" s="1"/>
  <c r="J909" i="59"/>
  <c r="J1065" i="59" s="1"/>
  <c r="J287" i="67"/>
  <c r="J326" i="67" s="1"/>
  <c r="O482" i="59"/>
  <c r="O638" i="59" s="1"/>
  <c r="G482" i="59"/>
  <c r="G638" i="59" s="1"/>
  <c r="M482" i="59"/>
  <c r="M638" i="59" s="1"/>
  <c r="L482" i="59"/>
  <c r="L638" i="59" s="1"/>
  <c r="H482" i="59"/>
  <c r="H638" i="59" s="1"/>
  <c r="J482" i="59"/>
  <c r="J638" i="59" s="1"/>
  <c r="I482" i="59"/>
  <c r="I638" i="59" s="1"/>
  <c r="N482" i="59"/>
  <c r="N638" i="59" s="1"/>
  <c r="K482" i="59"/>
  <c r="K638" i="59" s="1"/>
  <c r="L310" i="53"/>
  <c r="P553" i="67"/>
  <c r="P591" i="67" s="1"/>
  <c r="F591" i="67" s="1"/>
  <c r="J483" i="54"/>
  <c r="J317" i="54"/>
  <c r="L185" i="53"/>
  <c r="P463" i="67"/>
  <c r="P501" i="67" s="1"/>
  <c r="F501" i="67" s="1"/>
  <c r="J854" i="67"/>
  <c r="O422" i="53"/>
  <c r="K460" i="53" s="1"/>
  <c r="K921" i="59" s="1"/>
  <c r="K1077" i="59" s="1"/>
  <c r="P455" i="53"/>
  <c r="Q455" i="53"/>
  <c r="O455" i="53"/>
  <c r="G344" i="53"/>
  <c r="I344" i="53"/>
  <c r="H344" i="53"/>
  <c r="O70" i="53"/>
  <c r="K108" i="53" s="1"/>
  <c r="K206" i="59" s="1"/>
  <c r="K362" i="59" s="1"/>
  <c r="J715" i="67"/>
  <c r="F715" i="67" s="1"/>
  <c r="T418" i="59"/>
  <c r="T575" i="59"/>
  <c r="T574" i="59" s="1"/>
  <c r="J43" i="67"/>
  <c r="J82" i="67" s="1"/>
  <c r="J203" i="59"/>
  <c r="J359" i="59" s="1"/>
  <c r="H162" i="54"/>
  <c r="S71" i="53"/>
  <c r="M207" i="59" s="1"/>
  <c r="M363" i="59" s="1"/>
  <c r="J138" i="54"/>
  <c r="L47" i="53"/>
  <c r="P360" i="67"/>
  <c r="P398" i="67" s="1"/>
  <c r="F398" i="67" s="1"/>
  <c r="K738" i="67"/>
  <c r="P164" i="53"/>
  <c r="S202" i="53" s="1"/>
  <c r="S421" i="59" s="1"/>
  <c r="S577" i="59" s="1"/>
  <c r="Q113" i="53"/>
  <c r="P113" i="53"/>
  <c r="O113" i="53"/>
  <c r="J155" i="54"/>
  <c r="P377" i="67"/>
  <c r="P415" i="67" s="1"/>
  <c r="F415" i="67" s="1"/>
  <c r="L64" i="53"/>
  <c r="J185" i="59"/>
  <c r="J341" i="59" s="1"/>
  <c r="J25" i="67"/>
  <c r="J64" i="67" s="1"/>
  <c r="R420" i="59"/>
  <c r="R576" i="59" s="1"/>
  <c r="N106" i="67"/>
  <c r="N145" i="67" s="1"/>
  <c r="R181" i="59"/>
  <c r="N21" i="67"/>
  <c r="G99" i="53"/>
  <c r="H99" i="53"/>
  <c r="I99" i="53"/>
  <c r="M230" i="59"/>
  <c r="M386" i="59" s="1"/>
  <c r="J230" i="59"/>
  <c r="J386" i="59" s="1"/>
  <c r="O230" i="59"/>
  <c r="O386" i="59" s="1"/>
  <c r="I230" i="59"/>
  <c r="I386" i="59" s="1"/>
  <c r="N230" i="59"/>
  <c r="N386" i="59" s="1"/>
  <c r="G230" i="59"/>
  <c r="G386" i="59" s="1"/>
  <c r="K230" i="59"/>
  <c r="K386" i="59" s="1"/>
  <c r="H230" i="59"/>
  <c r="H386" i="59" s="1"/>
  <c r="L230" i="59"/>
  <c r="L386" i="59" s="1"/>
  <c r="G117" i="53"/>
  <c r="H117" i="53"/>
  <c r="I117" i="53"/>
  <c r="J699" i="67"/>
  <c r="O54" i="53"/>
  <c r="K92" i="53" s="1"/>
  <c r="K190" i="59" s="1"/>
  <c r="K346" i="59" s="1"/>
  <c r="J159" i="54"/>
  <c r="L68" i="53"/>
  <c r="P381" i="67"/>
  <c r="P419" i="67" s="1"/>
  <c r="F419" i="67" s="1"/>
  <c r="R194" i="59"/>
  <c r="R350" i="59" s="1"/>
  <c r="N34" i="67"/>
  <c r="N73" i="67" s="1"/>
  <c r="L59" i="53"/>
  <c r="P372" i="67"/>
  <c r="P410" i="67" s="1"/>
  <c r="F410" i="67" s="1"/>
  <c r="J150" i="54"/>
  <c r="J162" i="54"/>
  <c r="P384" i="67"/>
  <c r="P422" i="67" s="1"/>
  <c r="F422" i="67" s="1"/>
  <c r="L71" i="53"/>
  <c r="P69" i="53"/>
  <c r="S107" i="53" s="1"/>
  <c r="S205" i="59" s="1"/>
  <c r="S361" i="59" s="1"/>
  <c r="K714" i="67"/>
  <c r="J738" i="67"/>
  <c r="O164" i="53"/>
  <c r="K202" i="53" s="1"/>
  <c r="K421" i="59" s="1"/>
  <c r="K577" i="59" s="1"/>
  <c r="J145" i="54"/>
  <c r="P367" i="67"/>
  <c r="P405" i="67" s="1"/>
  <c r="F405" i="67" s="1"/>
  <c r="L54" i="53"/>
  <c r="I247" i="59"/>
  <c r="I403" i="59" s="1"/>
  <c r="N247" i="59"/>
  <c r="N403" i="59" s="1"/>
  <c r="J247" i="59"/>
  <c r="J403" i="59" s="1"/>
  <c r="M247" i="59"/>
  <c r="M403" i="59" s="1"/>
  <c r="O247" i="59"/>
  <c r="O403" i="59" s="1"/>
  <c r="G247" i="59"/>
  <c r="G403" i="59" s="1"/>
  <c r="L247" i="59"/>
  <c r="L403" i="59" s="1"/>
  <c r="H247" i="59"/>
  <c r="H403" i="59" s="1"/>
  <c r="K247" i="59"/>
  <c r="K403" i="59" s="1"/>
  <c r="L63" i="53"/>
  <c r="J154" i="54"/>
  <c r="P376" i="67"/>
  <c r="P414" i="67" s="1"/>
  <c r="F414" i="67" s="1"/>
  <c r="Q205" i="53"/>
  <c r="P205" i="53"/>
  <c r="O205" i="53"/>
  <c r="N238" i="59"/>
  <c r="N394" i="59" s="1"/>
  <c r="J238" i="59"/>
  <c r="J394" i="59" s="1"/>
  <c r="L238" i="59"/>
  <c r="L394" i="59" s="1"/>
  <c r="M238" i="59"/>
  <c r="M394" i="59" s="1"/>
  <c r="K238" i="59"/>
  <c r="K394" i="59" s="1"/>
  <c r="G238" i="59"/>
  <c r="G394" i="59" s="1"/>
  <c r="O238" i="59"/>
  <c r="O394" i="59" s="1"/>
  <c r="H238" i="59"/>
  <c r="H394" i="59" s="1"/>
  <c r="I238" i="59"/>
  <c r="I394" i="59" s="1"/>
  <c r="G224" i="59"/>
  <c r="G380" i="59" s="1"/>
  <c r="L224" i="59"/>
  <c r="L380" i="59" s="1"/>
  <c r="K224" i="59"/>
  <c r="K380" i="59" s="1"/>
  <c r="J224" i="59"/>
  <c r="J380" i="59" s="1"/>
  <c r="O224" i="59"/>
  <c r="O380" i="59" s="1"/>
  <c r="I224" i="59"/>
  <c r="I380" i="59" s="1"/>
  <c r="N224" i="59"/>
  <c r="N380" i="59" s="1"/>
  <c r="H224" i="59"/>
  <c r="H380" i="59" s="1"/>
  <c r="M224" i="59"/>
  <c r="M380" i="59" s="1"/>
  <c r="Q110" i="53"/>
  <c r="O110" i="53"/>
  <c r="P110" i="53"/>
  <c r="K702" i="67"/>
  <c r="P57" i="53"/>
  <c r="S95" i="53" s="1"/>
  <c r="S193" i="59" s="1"/>
  <c r="S349" i="59" s="1"/>
  <c r="K229" i="59"/>
  <c r="K385" i="59" s="1"/>
  <c r="L229" i="59"/>
  <c r="L385" i="59" s="1"/>
  <c r="J229" i="59"/>
  <c r="J385" i="59" s="1"/>
  <c r="I229" i="59"/>
  <c r="I385" i="59" s="1"/>
  <c r="O229" i="59"/>
  <c r="O385" i="59" s="1"/>
  <c r="M229" i="59"/>
  <c r="M385" i="59" s="1"/>
  <c r="H229" i="59"/>
  <c r="H385" i="59" s="1"/>
  <c r="G229" i="59"/>
  <c r="G385" i="59" s="1"/>
  <c r="N229" i="59"/>
  <c r="N385" i="59" s="1"/>
  <c r="H439" i="67"/>
  <c r="H477" i="67" s="1"/>
  <c r="H478" i="67"/>
  <c r="P365" i="67"/>
  <c r="P403" i="67" s="1"/>
  <c r="F403" i="67" s="1"/>
  <c r="J143" i="54"/>
  <c r="L52" i="53"/>
  <c r="O68" i="53"/>
  <c r="K106" i="53" s="1"/>
  <c r="K204" i="59" s="1"/>
  <c r="K360" i="59" s="1"/>
  <c r="J713" i="67"/>
  <c r="N241" i="59"/>
  <c r="N397" i="59" s="1"/>
  <c r="K241" i="59"/>
  <c r="K397" i="59" s="1"/>
  <c r="I241" i="59"/>
  <c r="I397" i="59" s="1"/>
  <c r="J241" i="59"/>
  <c r="J397" i="59" s="1"/>
  <c r="O241" i="59"/>
  <c r="O397" i="59" s="1"/>
  <c r="G241" i="59"/>
  <c r="G397" i="59" s="1"/>
  <c r="M241" i="59"/>
  <c r="M397" i="59" s="1"/>
  <c r="L241" i="59"/>
  <c r="L397" i="59" s="1"/>
  <c r="H241" i="59"/>
  <c r="H397" i="59" s="1"/>
  <c r="H155" i="54"/>
  <c r="S64" i="53"/>
  <c r="M200" i="59" s="1"/>
  <c r="M356" i="59" s="1"/>
  <c r="J107" i="67"/>
  <c r="J146" i="67" s="1"/>
  <c r="J421" i="59"/>
  <c r="J577" i="59" s="1"/>
  <c r="K753" i="67"/>
  <c r="P179" i="53"/>
  <c r="S217" i="53" s="1"/>
  <c r="S436" i="59" s="1"/>
  <c r="S592" i="59" s="1"/>
  <c r="N51" i="67"/>
  <c r="N90" i="67" s="1"/>
  <c r="R211" i="59"/>
  <c r="R367" i="59" s="1"/>
  <c r="I220" i="53"/>
  <c r="G220" i="53"/>
  <c r="H220" i="53"/>
  <c r="J300" i="54"/>
  <c r="P446" i="67"/>
  <c r="P484" i="67" s="1"/>
  <c r="F484" i="67" s="1"/>
  <c r="L168" i="53"/>
  <c r="S178" i="53"/>
  <c r="M435" i="59" s="1"/>
  <c r="M591" i="59" s="1"/>
  <c r="H310" i="54"/>
  <c r="R208" i="59"/>
  <c r="R364" i="59" s="1"/>
  <c r="N48" i="67"/>
  <c r="N87" i="67" s="1"/>
  <c r="K468" i="59"/>
  <c r="K624" i="59" s="1"/>
  <c r="L468" i="59"/>
  <c r="L624" i="59" s="1"/>
  <c r="G468" i="59"/>
  <c r="G624" i="59" s="1"/>
  <c r="M468" i="59"/>
  <c r="M624" i="59" s="1"/>
  <c r="J468" i="59"/>
  <c r="J624" i="59" s="1"/>
  <c r="O468" i="59"/>
  <c r="O624" i="59" s="1"/>
  <c r="H468" i="59"/>
  <c r="H624" i="59" s="1"/>
  <c r="I468" i="59"/>
  <c r="I624" i="59" s="1"/>
  <c r="N468" i="59"/>
  <c r="N624" i="59" s="1"/>
  <c r="O45" i="53"/>
  <c r="K83" i="53" s="1"/>
  <c r="K181" i="59" s="1"/>
  <c r="J690" i="67"/>
  <c r="O162" i="53"/>
  <c r="K200" i="53" s="1"/>
  <c r="K419" i="59" s="1"/>
  <c r="J736" i="67"/>
  <c r="J152" i="54"/>
  <c r="P374" i="67"/>
  <c r="P412" i="67" s="1"/>
  <c r="F412" i="67" s="1"/>
  <c r="L61" i="53"/>
  <c r="R448" i="59"/>
  <c r="R604" i="59" s="1"/>
  <c r="N134" i="67"/>
  <c r="N173" i="67" s="1"/>
  <c r="N124" i="67"/>
  <c r="N163" i="67" s="1"/>
  <c r="R438" i="59"/>
  <c r="R594" i="59" s="1"/>
  <c r="J200" i="59"/>
  <c r="J356" i="59" s="1"/>
  <c r="J40" i="67"/>
  <c r="J79" i="67" s="1"/>
  <c r="N136" i="67"/>
  <c r="N175" i="67" s="1"/>
  <c r="R450" i="59"/>
  <c r="R606" i="59" s="1"/>
  <c r="O279" i="53"/>
  <c r="K317" i="53" s="1"/>
  <c r="K657" i="59" s="1"/>
  <c r="J782" i="67"/>
  <c r="J316" i="54"/>
  <c r="L184" i="53"/>
  <c r="P462" i="67"/>
  <c r="P500" i="67" s="1"/>
  <c r="F500" i="67" s="1"/>
  <c r="H95" i="53"/>
  <c r="I95" i="53"/>
  <c r="G95" i="53"/>
  <c r="L486" i="59"/>
  <c r="L642" i="59" s="1"/>
  <c r="N486" i="59"/>
  <c r="N642" i="59" s="1"/>
  <c r="O486" i="59"/>
  <c r="O642" i="59" s="1"/>
  <c r="H486" i="59"/>
  <c r="H642" i="59" s="1"/>
  <c r="K486" i="59"/>
  <c r="K642" i="59" s="1"/>
  <c r="M486" i="59"/>
  <c r="M642" i="59" s="1"/>
  <c r="J486" i="59"/>
  <c r="J642" i="59" s="1"/>
  <c r="G486" i="59"/>
  <c r="G642" i="59" s="1"/>
  <c r="I486" i="59"/>
  <c r="I642" i="59" s="1"/>
  <c r="J753" i="67"/>
  <c r="O179" i="53"/>
  <c r="K217" i="53" s="1"/>
  <c r="K436" i="59" s="1"/>
  <c r="K592" i="59" s="1"/>
  <c r="I439" i="67"/>
  <c r="I477" i="67" s="1"/>
  <c r="I478" i="67"/>
  <c r="J139" i="67"/>
  <c r="J178" i="67" s="1"/>
  <c r="J453" i="59"/>
  <c r="J609" i="59" s="1"/>
  <c r="K740" i="67"/>
  <c r="P166" i="53"/>
  <c r="S204" i="53" s="1"/>
  <c r="S423" i="59" s="1"/>
  <c r="S579" i="59" s="1"/>
  <c r="Q231" i="53"/>
  <c r="P231" i="53"/>
  <c r="O231" i="53"/>
  <c r="J447" i="59"/>
  <c r="J603" i="59" s="1"/>
  <c r="J133" i="67"/>
  <c r="J172" i="67" s="1"/>
  <c r="J673" i="59"/>
  <c r="J829" i="59" s="1"/>
  <c r="J205" i="67"/>
  <c r="J244" i="67" s="1"/>
  <c r="O291" i="53"/>
  <c r="K329" i="53" s="1"/>
  <c r="K669" i="59" s="1"/>
  <c r="K825" i="59" s="1"/>
  <c r="J794" i="67"/>
  <c r="O439" i="53"/>
  <c r="P439" i="53"/>
  <c r="Q439" i="53"/>
  <c r="J769" i="67"/>
  <c r="F769" i="67" s="1"/>
  <c r="O195" i="53"/>
  <c r="K233" i="53" s="1"/>
  <c r="K452" i="59" s="1"/>
  <c r="K608" i="59" s="1"/>
  <c r="N196" i="67"/>
  <c r="N235" i="67" s="1"/>
  <c r="R664" i="59"/>
  <c r="R820" i="59" s="1"/>
  <c r="I937" i="59"/>
  <c r="I1093" i="59" s="1"/>
  <c r="H937" i="59"/>
  <c r="H1093" i="59" s="1"/>
  <c r="J937" i="59"/>
  <c r="J1093" i="59" s="1"/>
  <c r="M937" i="59"/>
  <c r="M1093" i="59" s="1"/>
  <c r="N937" i="59"/>
  <c r="N1093" i="59" s="1"/>
  <c r="K937" i="59"/>
  <c r="K1093" i="59" s="1"/>
  <c r="G937" i="59"/>
  <c r="G1093" i="59" s="1"/>
  <c r="L937" i="59"/>
  <c r="L1093" i="59" s="1"/>
  <c r="O937" i="59"/>
  <c r="O1093" i="59" s="1"/>
  <c r="Q234" i="53"/>
  <c r="O234" i="53"/>
  <c r="P234" i="53"/>
  <c r="S286" i="53"/>
  <c r="M664" i="59" s="1"/>
  <c r="M820" i="59" s="1"/>
  <c r="H459" i="54"/>
  <c r="K810" i="67"/>
  <c r="P307" i="53"/>
  <c r="S345" i="53" s="1"/>
  <c r="S685" i="59" s="1"/>
  <c r="S841" i="59" s="1"/>
  <c r="J667" i="59"/>
  <c r="J823" i="59" s="1"/>
  <c r="J199" i="67"/>
  <c r="J238" i="67" s="1"/>
  <c r="O228" i="53"/>
  <c r="P228" i="53"/>
  <c r="Q228" i="53"/>
  <c r="O333" i="53"/>
  <c r="P333" i="53"/>
  <c r="Q333" i="53"/>
  <c r="O702" i="59"/>
  <c r="O858" i="59" s="1"/>
  <c r="K702" i="59"/>
  <c r="K858" i="59" s="1"/>
  <c r="G702" i="59"/>
  <c r="G858" i="59" s="1"/>
  <c r="N702" i="59"/>
  <c r="N858" i="59" s="1"/>
  <c r="M702" i="59"/>
  <c r="M858" i="59" s="1"/>
  <c r="J702" i="59"/>
  <c r="J858" i="59" s="1"/>
  <c r="L702" i="59"/>
  <c r="L858" i="59" s="1"/>
  <c r="I702" i="59"/>
  <c r="I858" i="59" s="1"/>
  <c r="H702" i="59"/>
  <c r="H858" i="59" s="1"/>
  <c r="G225" i="53"/>
  <c r="H225" i="53"/>
  <c r="I225" i="53"/>
  <c r="G710" i="59"/>
  <c r="G866" i="59" s="1"/>
  <c r="J710" i="59"/>
  <c r="J866" i="59" s="1"/>
  <c r="N710" i="59"/>
  <c r="N866" i="59" s="1"/>
  <c r="H710" i="59"/>
  <c r="H866" i="59" s="1"/>
  <c r="O710" i="59"/>
  <c r="O866" i="59" s="1"/>
  <c r="I710" i="59"/>
  <c r="I866" i="59" s="1"/>
  <c r="K710" i="59"/>
  <c r="K866" i="59" s="1"/>
  <c r="M710" i="59"/>
  <c r="M866" i="59" s="1"/>
  <c r="L710" i="59"/>
  <c r="L866" i="59" s="1"/>
  <c r="J661" i="59"/>
  <c r="J817" i="59" s="1"/>
  <c r="J193" i="67"/>
  <c r="J232" i="67" s="1"/>
  <c r="O445" i="53"/>
  <c r="Q445" i="53"/>
  <c r="P445" i="53"/>
  <c r="J762" i="67"/>
  <c r="O188" i="53"/>
  <c r="K226" i="53" s="1"/>
  <c r="K445" i="59" s="1"/>
  <c r="K601" i="59" s="1"/>
  <c r="H350" i="53"/>
  <c r="G350" i="53"/>
  <c r="I350" i="53"/>
  <c r="I704" i="59"/>
  <c r="I860" i="59" s="1"/>
  <c r="K704" i="59"/>
  <c r="K860" i="59" s="1"/>
  <c r="M704" i="59"/>
  <c r="M860" i="59" s="1"/>
  <c r="G704" i="59"/>
  <c r="G860" i="59" s="1"/>
  <c r="H704" i="59"/>
  <c r="H860" i="59" s="1"/>
  <c r="N704" i="59"/>
  <c r="N860" i="59" s="1"/>
  <c r="J704" i="59"/>
  <c r="J860" i="59" s="1"/>
  <c r="O704" i="59"/>
  <c r="O860" i="59" s="1"/>
  <c r="L704" i="59"/>
  <c r="L860" i="59" s="1"/>
  <c r="P611" i="67"/>
  <c r="P649" i="67" s="1"/>
  <c r="F649" i="67" s="1"/>
  <c r="L403" i="53"/>
  <c r="J617" i="54"/>
  <c r="H480" i="54"/>
  <c r="S307" i="53"/>
  <c r="M685" i="59" s="1"/>
  <c r="M841" i="59" s="1"/>
  <c r="L492" i="59"/>
  <c r="L648" i="59" s="1"/>
  <c r="M492" i="59"/>
  <c r="M648" i="59" s="1"/>
  <c r="I492" i="59"/>
  <c r="I648" i="59" s="1"/>
  <c r="K492" i="59"/>
  <c r="K648" i="59" s="1"/>
  <c r="G492" i="59"/>
  <c r="G648" i="59" s="1"/>
  <c r="H492" i="59"/>
  <c r="H648" i="59" s="1"/>
  <c r="N492" i="59"/>
  <c r="N648" i="59" s="1"/>
  <c r="J492" i="59"/>
  <c r="J648" i="59" s="1"/>
  <c r="O492" i="59"/>
  <c r="O648" i="59" s="1"/>
  <c r="H338" i="53"/>
  <c r="G338" i="53"/>
  <c r="I338" i="53"/>
  <c r="H936" i="59"/>
  <c r="H1092" i="59" s="1"/>
  <c r="I936" i="59"/>
  <c r="I1092" i="59" s="1"/>
  <c r="J936" i="59"/>
  <c r="J1092" i="59" s="1"/>
  <c r="L936" i="59"/>
  <c r="L1092" i="59" s="1"/>
  <c r="G936" i="59"/>
  <c r="G1092" i="59" s="1"/>
  <c r="O936" i="59"/>
  <c r="O1092" i="59" s="1"/>
  <c r="N936" i="59"/>
  <c r="N1092" i="59" s="1"/>
  <c r="K936" i="59"/>
  <c r="K1092" i="59" s="1"/>
  <c r="M936" i="59"/>
  <c r="M1092" i="59" s="1"/>
  <c r="J521" i="67"/>
  <c r="J559" i="67" s="1"/>
  <c r="J560" i="67"/>
  <c r="Q444" i="53"/>
  <c r="P444" i="53"/>
  <c r="O444" i="53"/>
  <c r="O196" i="53"/>
  <c r="K234" i="53" s="1"/>
  <c r="K453" i="59" s="1"/>
  <c r="K609" i="59" s="1"/>
  <c r="J770" i="67"/>
  <c r="P420" i="53"/>
  <c r="S458" i="53" s="1"/>
  <c r="S919" i="59" s="1"/>
  <c r="S1075" i="59" s="1"/>
  <c r="K852" i="67"/>
  <c r="H476" i="54"/>
  <c r="S303" i="53"/>
  <c r="M681" i="59" s="1"/>
  <c r="M837" i="59" s="1"/>
  <c r="L294" i="53"/>
  <c r="P537" i="67"/>
  <c r="P575" i="67" s="1"/>
  <c r="F575" i="67" s="1"/>
  <c r="J467" i="54"/>
  <c r="H322" i="53"/>
  <c r="I322" i="53"/>
  <c r="G322" i="53"/>
  <c r="Q435" i="53"/>
  <c r="P435" i="53"/>
  <c r="O435" i="53"/>
  <c r="G443" i="53"/>
  <c r="I443" i="53"/>
  <c r="H443" i="53"/>
  <c r="P170" i="53"/>
  <c r="S208" i="53" s="1"/>
  <c r="S427" i="59" s="1"/>
  <c r="S583" i="59" s="1"/>
  <c r="K744" i="67"/>
  <c r="K784" i="67"/>
  <c r="P281" i="53"/>
  <c r="S319" i="53" s="1"/>
  <c r="S659" i="59" s="1"/>
  <c r="S815" i="59" s="1"/>
  <c r="O338" i="53"/>
  <c r="P338" i="53"/>
  <c r="Q338" i="53"/>
  <c r="H346" i="53"/>
  <c r="I346" i="53"/>
  <c r="G346" i="53"/>
  <c r="N218" i="67"/>
  <c r="N257" i="67" s="1"/>
  <c r="R686" i="59"/>
  <c r="R842" i="59" s="1"/>
  <c r="H328" i="54"/>
  <c r="S196" i="53"/>
  <c r="M453" i="59" s="1"/>
  <c r="M609" i="59" s="1"/>
  <c r="H619" i="54"/>
  <c r="F619" i="54" s="1"/>
  <c r="F501" i="54" s="1"/>
  <c r="D180" i="49" s="1"/>
  <c r="K180" i="49" s="1"/>
  <c r="S405" i="53"/>
  <c r="M904" i="59" s="1"/>
  <c r="M1060" i="59" s="1"/>
  <c r="J275" i="67"/>
  <c r="J314" i="67" s="1"/>
  <c r="J897" i="59"/>
  <c r="J1053" i="59" s="1"/>
  <c r="R668" i="59"/>
  <c r="R824" i="59" s="1"/>
  <c r="N200" i="67"/>
  <c r="N239" i="67" s="1"/>
  <c r="J476" i="54"/>
  <c r="P546" i="67"/>
  <c r="P584" i="67" s="1"/>
  <c r="F584" i="67" s="1"/>
  <c r="L303" i="53"/>
  <c r="J900" i="59"/>
  <c r="J1056" i="59" s="1"/>
  <c r="J278" i="67"/>
  <c r="J317" i="67" s="1"/>
  <c r="S170" i="53"/>
  <c r="M427" i="59" s="1"/>
  <c r="M583" i="59" s="1"/>
  <c r="H302" i="54"/>
  <c r="O289" i="53"/>
  <c r="K327" i="53" s="1"/>
  <c r="K667" i="59" s="1"/>
  <c r="K823" i="59" s="1"/>
  <c r="J792" i="67"/>
  <c r="F792" i="67" s="1"/>
  <c r="G229" i="53"/>
  <c r="I229" i="53"/>
  <c r="H229" i="53"/>
  <c r="J280" i="67"/>
  <c r="J319" i="67" s="1"/>
  <c r="J902" i="59"/>
  <c r="J1058" i="59" s="1"/>
  <c r="N207" i="67"/>
  <c r="N246" i="67" s="1"/>
  <c r="R675" i="59"/>
  <c r="R831" i="59" s="1"/>
  <c r="O416" i="53"/>
  <c r="K454" i="53" s="1"/>
  <c r="K915" i="59" s="1"/>
  <c r="K1071" i="59" s="1"/>
  <c r="J848" i="67"/>
  <c r="F848" i="67" s="1"/>
  <c r="H461" i="53"/>
  <c r="G461" i="53"/>
  <c r="I461" i="53"/>
  <c r="I966" i="59"/>
  <c r="I1122" i="59" s="1"/>
  <c r="G966" i="59"/>
  <c r="G1122" i="59" s="1"/>
  <c r="H966" i="59"/>
  <c r="H1122" i="59" s="1"/>
  <c r="N966" i="59"/>
  <c r="N1122" i="59" s="1"/>
  <c r="O966" i="59"/>
  <c r="O1122" i="59" s="1"/>
  <c r="L966" i="59"/>
  <c r="L1122" i="59" s="1"/>
  <c r="K966" i="59"/>
  <c r="K1122" i="59" s="1"/>
  <c r="J966" i="59"/>
  <c r="J1122" i="59" s="1"/>
  <c r="M966" i="59"/>
  <c r="M1122" i="59" s="1"/>
  <c r="J741" i="67"/>
  <c r="O167" i="53"/>
  <c r="K205" i="53" s="1"/>
  <c r="K424" i="59" s="1"/>
  <c r="K580" i="59" s="1"/>
  <c r="U1051" i="59"/>
  <c r="U1050" i="59" s="1"/>
  <c r="U894" i="59"/>
  <c r="O286" i="53"/>
  <c r="K324" i="53" s="1"/>
  <c r="K664" i="59" s="1"/>
  <c r="K820" i="59" s="1"/>
  <c r="J789" i="67"/>
  <c r="H460" i="53"/>
  <c r="G460" i="53"/>
  <c r="I460" i="53"/>
  <c r="R895" i="59"/>
  <c r="N273" i="67"/>
  <c r="G468" i="53"/>
  <c r="I468" i="53"/>
  <c r="H468" i="53"/>
  <c r="P401" i="53"/>
  <c r="S439" i="53" s="1"/>
  <c r="S900" i="59" s="1"/>
  <c r="S1056" i="59" s="1"/>
  <c r="K833" i="67"/>
  <c r="H455" i="54"/>
  <c r="F455" i="54" s="1"/>
  <c r="F337" i="54" s="1"/>
  <c r="D132" i="49" s="1"/>
  <c r="S282" i="53"/>
  <c r="M660" i="59" s="1"/>
  <c r="M816" i="59" s="1"/>
  <c r="J940" i="59"/>
  <c r="J1096" i="59" s="1"/>
  <c r="K940" i="59"/>
  <c r="K1096" i="59" s="1"/>
  <c r="H940" i="59"/>
  <c r="H1096" i="59" s="1"/>
  <c r="O940" i="59"/>
  <c r="O1096" i="59" s="1"/>
  <c r="M940" i="59"/>
  <c r="M1096" i="59" s="1"/>
  <c r="I940" i="59"/>
  <c r="I1096" i="59" s="1"/>
  <c r="N940" i="59"/>
  <c r="N1096" i="59" s="1"/>
  <c r="L940" i="59"/>
  <c r="L1096" i="59" s="1"/>
  <c r="G940" i="59"/>
  <c r="G1096" i="59" s="1"/>
  <c r="J851" i="67"/>
  <c r="O419" i="53"/>
  <c r="K457" i="53" s="1"/>
  <c r="K918" i="59" s="1"/>
  <c r="K1074" i="59" s="1"/>
  <c r="L280" i="53"/>
  <c r="J453" i="54"/>
  <c r="P523" i="67"/>
  <c r="P561" i="67" s="1"/>
  <c r="F561" i="67" s="1"/>
  <c r="J125" i="67"/>
  <c r="J164" i="67" s="1"/>
  <c r="J439" i="59"/>
  <c r="J595" i="59" s="1"/>
  <c r="J620" i="54"/>
  <c r="P614" i="67"/>
  <c r="P652" i="67" s="1"/>
  <c r="F652" i="67" s="1"/>
  <c r="L406" i="53"/>
  <c r="O186" i="53"/>
  <c r="K224" i="53" s="1"/>
  <c r="K443" i="59" s="1"/>
  <c r="K599" i="59" s="1"/>
  <c r="J760" i="67"/>
  <c r="F760" i="67" s="1"/>
  <c r="L400" i="53"/>
  <c r="P608" i="67"/>
  <c r="P646" i="67" s="1"/>
  <c r="F646" i="67" s="1"/>
  <c r="J614" i="54"/>
  <c r="G332" i="53"/>
  <c r="I332" i="53"/>
  <c r="H332" i="53"/>
  <c r="J642" i="67"/>
  <c r="J603" i="67"/>
  <c r="J641" i="67" s="1"/>
  <c r="Q468" i="53"/>
  <c r="O468" i="53"/>
  <c r="P468" i="53"/>
  <c r="J638" i="54"/>
  <c r="P632" i="67"/>
  <c r="P670" i="67" s="1"/>
  <c r="F670" i="67" s="1"/>
  <c r="L424" i="53"/>
  <c r="K759" i="67"/>
  <c r="P185" i="53"/>
  <c r="S223" i="53" s="1"/>
  <c r="S442" i="59" s="1"/>
  <c r="S598" i="59" s="1"/>
  <c r="O464" i="53"/>
  <c r="Q464" i="53"/>
  <c r="P464" i="53"/>
  <c r="K851" i="67"/>
  <c r="P419" i="53"/>
  <c r="S457" i="53" s="1"/>
  <c r="S918" i="59" s="1"/>
  <c r="S1074" i="59" s="1"/>
  <c r="O430" i="53"/>
  <c r="K468" i="53" s="1"/>
  <c r="K929" i="59" s="1"/>
  <c r="K1085" i="59" s="1"/>
  <c r="J862" i="67"/>
  <c r="F862" i="67" s="1"/>
  <c r="N293" i="67"/>
  <c r="N332" i="67" s="1"/>
  <c r="R915" i="59"/>
  <c r="R1071" i="59" s="1"/>
  <c r="P306" i="53"/>
  <c r="S344" i="53" s="1"/>
  <c r="S684" i="59" s="1"/>
  <c r="S840" i="59" s="1"/>
  <c r="K809" i="67"/>
  <c r="H321" i="54"/>
  <c r="S189" i="53"/>
  <c r="M446" i="59" s="1"/>
  <c r="M602" i="59" s="1"/>
  <c r="G453" i="53"/>
  <c r="H453" i="53"/>
  <c r="I453" i="53"/>
  <c r="J304" i="67"/>
  <c r="J343" i="67" s="1"/>
  <c r="J926" i="59"/>
  <c r="J1082" i="59" s="1"/>
  <c r="J669" i="59"/>
  <c r="J825" i="59" s="1"/>
  <c r="J201" i="67"/>
  <c r="J240" i="67" s="1"/>
  <c r="O342" i="53"/>
  <c r="Q342" i="53"/>
  <c r="P342" i="53"/>
  <c r="H963" i="59"/>
  <c r="H1119" i="59" s="1"/>
  <c r="J963" i="59"/>
  <c r="J1119" i="59" s="1"/>
  <c r="G963" i="59"/>
  <c r="G1119" i="59" s="1"/>
  <c r="I963" i="59"/>
  <c r="I1119" i="59" s="1"/>
  <c r="K963" i="59"/>
  <c r="K1119" i="59" s="1"/>
  <c r="M963" i="59"/>
  <c r="M1119" i="59" s="1"/>
  <c r="L963" i="59"/>
  <c r="L1119" i="59" s="1"/>
  <c r="N963" i="59"/>
  <c r="N1119" i="59" s="1"/>
  <c r="O963" i="59"/>
  <c r="O1119" i="59" s="1"/>
  <c r="J919" i="59"/>
  <c r="J1075" i="59" s="1"/>
  <c r="J297" i="67"/>
  <c r="J336" i="67" s="1"/>
  <c r="J274" i="67"/>
  <c r="J313" i="67" s="1"/>
  <c r="J896" i="59"/>
  <c r="J1052" i="59" s="1"/>
  <c r="H233" i="53"/>
  <c r="G233" i="53"/>
  <c r="I233" i="53"/>
  <c r="Q86" i="53"/>
  <c r="P86" i="53"/>
  <c r="O86" i="53"/>
  <c r="J695" i="67"/>
  <c r="O50" i="53"/>
  <c r="K88" i="53" s="1"/>
  <c r="K186" i="59" s="1"/>
  <c r="K342" i="59" s="1"/>
  <c r="P64" i="53"/>
  <c r="S102" i="53" s="1"/>
  <c r="S200" i="59" s="1"/>
  <c r="S356" i="59" s="1"/>
  <c r="K709" i="67"/>
  <c r="L51" i="53"/>
  <c r="J142" i="54"/>
  <c r="P364" i="67"/>
  <c r="P402" i="67" s="1"/>
  <c r="F402" i="67" s="1"/>
  <c r="N228" i="59"/>
  <c r="N384" i="59" s="1"/>
  <c r="J228" i="59"/>
  <c r="J384" i="59" s="1"/>
  <c r="O228" i="59"/>
  <c r="O384" i="59" s="1"/>
  <c r="M228" i="59"/>
  <c r="M384" i="59" s="1"/>
  <c r="H228" i="59"/>
  <c r="H384" i="59" s="1"/>
  <c r="L228" i="59"/>
  <c r="L384" i="59" s="1"/>
  <c r="G228" i="59"/>
  <c r="G384" i="59" s="1"/>
  <c r="K228" i="59"/>
  <c r="K384" i="59" s="1"/>
  <c r="I228" i="59"/>
  <c r="I384" i="59" s="1"/>
  <c r="G110" i="53"/>
  <c r="H110" i="53"/>
  <c r="I110" i="53"/>
  <c r="M250" i="59"/>
  <c r="M406" i="59" s="1"/>
  <c r="L250" i="59"/>
  <c r="L406" i="59" s="1"/>
  <c r="O250" i="59"/>
  <c r="O406" i="59" s="1"/>
  <c r="G250" i="59"/>
  <c r="G406" i="59" s="1"/>
  <c r="N250" i="59"/>
  <c r="N406" i="59" s="1"/>
  <c r="H250" i="59"/>
  <c r="H406" i="59" s="1"/>
  <c r="J250" i="59"/>
  <c r="J406" i="59" s="1"/>
  <c r="I250" i="59"/>
  <c r="I406" i="59" s="1"/>
  <c r="K250" i="59"/>
  <c r="K406" i="59" s="1"/>
  <c r="P62" i="53"/>
  <c r="S100" i="53" s="1"/>
  <c r="S198" i="59" s="1"/>
  <c r="S354" i="59" s="1"/>
  <c r="K707" i="67"/>
  <c r="R212" i="59"/>
  <c r="R368" i="59" s="1"/>
  <c r="N52" i="67"/>
  <c r="N91" i="67" s="1"/>
  <c r="R428" i="59"/>
  <c r="R584" i="59" s="1"/>
  <c r="N114" i="67"/>
  <c r="N153" i="67" s="1"/>
  <c r="J30" i="67"/>
  <c r="J69" i="67" s="1"/>
  <c r="J190" i="59"/>
  <c r="J346" i="59" s="1"/>
  <c r="K699" i="67"/>
  <c r="P54" i="53"/>
  <c r="S92" i="53" s="1"/>
  <c r="S190" i="59" s="1"/>
  <c r="S346" i="59" s="1"/>
  <c r="P366" i="67"/>
  <c r="P404" i="67" s="1"/>
  <c r="F404" i="67" s="1"/>
  <c r="L53" i="53"/>
  <c r="J144" i="54"/>
  <c r="L253" i="59"/>
  <c r="L409" i="59" s="1"/>
  <c r="J253" i="59"/>
  <c r="J409" i="59" s="1"/>
  <c r="M253" i="59"/>
  <c r="M409" i="59" s="1"/>
  <c r="G253" i="59"/>
  <c r="G409" i="59" s="1"/>
  <c r="I253" i="59"/>
  <c r="I409" i="59" s="1"/>
  <c r="H253" i="59"/>
  <c r="H409" i="59" s="1"/>
  <c r="K253" i="59"/>
  <c r="K409" i="59" s="1"/>
  <c r="N253" i="59"/>
  <c r="N409" i="59" s="1"/>
  <c r="O253" i="59"/>
  <c r="O409" i="59" s="1"/>
  <c r="I212" i="53"/>
  <c r="G212" i="53"/>
  <c r="H212" i="53"/>
  <c r="I226" i="59"/>
  <c r="I382" i="59" s="1"/>
  <c r="J226" i="59"/>
  <c r="J382" i="59" s="1"/>
  <c r="K226" i="59"/>
  <c r="K382" i="59" s="1"/>
  <c r="H226" i="59"/>
  <c r="H382" i="59" s="1"/>
  <c r="N226" i="59"/>
  <c r="N382" i="59" s="1"/>
  <c r="L226" i="59"/>
  <c r="L382" i="59" s="1"/>
  <c r="O226" i="59"/>
  <c r="O382" i="59" s="1"/>
  <c r="M226" i="59"/>
  <c r="M382" i="59" s="1"/>
  <c r="G226" i="59"/>
  <c r="G382" i="59" s="1"/>
  <c r="R199" i="59"/>
  <c r="R355" i="59" s="1"/>
  <c r="N39" i="67"/>
  <c r="N78" i="67" s="1"/>
  <c r="P443" i="67"/>
  <c r="P481" i="67" s="1"/>
  <c r="F481" i="67" s="1"/>
  <c r="L165" i="53"/>
  <c r="J297" i="54"/>
  <c r="P363" i="67"/>
  <c r="P401" i="67" s="1"/>
  <c r="F401" i="67" s="1"/>
  <c r="J141" i="54"/>
  <c r="L50" i="53"/>
  <c r="K700" i="67"/>
  <c r="P55" i="53"/>
  <c r="S93" i="53" s="1"/>
  <c r="S191" i="59" s="1"/>
  <c r="S347" i="59" s="1"/>
  <c r="J27" i="67"/>
  <c r="J66" i="67" s="1"/>
  <c r="J187" i="59"/>
  <c r="J343" i="59" s="1"/>
  <c r="H298" i="54"/>
  <c r="S166" i="53"/>
  <c r="M423" i="59" s="1"/>
  <c r="M579" i="59" s="1"/>
  <c r="L462" i="59"/>
  <c r="L618" i="59" s="1"/>
  <c r="J462" i="59"/>
  <c r="J618" i="59" s="1"/>
  <c r="M462" i="59"/>
  <c r="M618" i="59" s="1"/>
  <c r="I462" i="59"/>
  <c r="I618" i="59" s="1"/>
  <c r="K462" i="59"/>
  <c r="K618" i="59" s="1"/>
  <c r="N462" i="59"/>
  <c r="N618" i="59" s="1"/>
  <c r="H462" i="59"/>
  <c r="H618" i="59" s="1"/>
  <c r="G462" i="59"/>
  <c r="G618" i="59" s="1"/>
  <c r="O462" i="59"/>
  <c r="O618" i="59" s="1"/>
  <c r="J751" i="67"/>
  <c r="F751" i="67" s="1"/>
  <c r="O177" i="53"/>
  <c r="K215" i="53" s="1"/>
  <c r="K434" i="59" s="1"/>
  <c r="K590" i="59" s="1"/>
  <c r="O72" i="53"/>
  <c r="K110" i="53" s="1"/>
  <c r="K208" i="59" s="1"/>
  <c r="K364" i="59" s="1"/>
  <c r="J717" i="67"/>
  <c r="O223" i="59"/>
  <c r="O379" i="59" s="1"/>
  <c r="H223" i="59"/>
  <c r="H379" i="59" s="1"/>
  <c r="M223" i="59"/>
  <c r="M379" i="59" s="1"/>
  <c r="G223" i="59"/>
  <c r="G379" i="59" s="1"/>
  <c r="K223" i="59"/>
  <c r="K379" i="59" s="1"/>
  <c r="I223" i="59"/>
  <c r="I379" i="59" s="1"/>
  <c r="L223" i="59"/>
  <c r="L379" i="59" s="1"/>
  <c r="N223" i="59"/>
  <c r="N379" i="59" s="1"/>
  <c r="J223" i="59"/>
  <c r="J379" i="59" s="1"/>
  <c r="P104" i="53"/>
  <c r="O104" i="53"/>
  <c r="Q104" i="53"/>
  <c r="J112" i="67"/>
  <c r="J151" i="67" s="1"/>
  <c r="J426" i="59"/>
  <c r="J582" i="59" s="1"/>
  <c r="Q105" i="53"/>
  <c r="O105" i="53"/>
  <c r="P105" i="53"/>
  <c r="P48" i="53"/>
  <c r="S86" i="53" s="1"/>
  <c r="S184" i="59" s="1"/>
  <c r="S340" i="59" s="1"/>
  <c r="K693" i="67"/>
  <c r="H158" i="54"/>
  <c r="S67" i="53"/>
  <c r="M203" i="59" s="1"/>
  <c r="M359" i="59" s="1"/>
  <c r="Q97" i="53"/>
  <c r="O97" i="53"/>
  <c r="P97" i="53"/>
  <c r="P59" i="53"/>
  <c r="S97" i="53" s="1"/>
  <c r="S195" i="59" s="1"/>
  <c r="S351" i="59" s="1"/>
  <c r="K704" i="67"/>
  <c r="J312" i="54"/>
  <c r="L180" i="53"/>
  <c r="P458" i="67"/>
  <c r="P496" i="67" s="1"/>
  <c r="F496" i="67" s="1"/>
  <c r="P75" i="53"/>
  <c r="S113" i="53" s="1"/>
  <c r="S211" i="59" s="1"/>
  <c r="S367" i="59" s="1"/>
  <c r="K720" i="67"/>
  <c r="K717" i="67"/>
  <c r="P72" i="53"/>
  <c r="S110" i="53" s="1"/>
  <c r="S208" i="59" s="1"/>
  <c r="S364" i="59" s="1"/>
  <c r="R435" i="59"/>
  <c r="R591" i="59" s="1"/>
  <c r="N121" i="67"/>
  <c r="N160" i="67" s="1"/>
  <c r="H464" i="59"/>
  <c r="H620" i="59" s="1"/>
  <c r="G464" i="59"/>
  <c r="G620" i="59" s="1"/>
  <c r="L464" i="59"/>
  <c r="L620" i="59" s="1"/>
  <c r="J464" i="59"/>
  <c r="J620" i="59" s="1"/>
  <c r="N464" i="59"/>
  <c r="N620" i="59" s="1"/>
  <c r="O464" i="59"/>
  <c r="O620" i="59" s="1"/>
  <c r="M464" i="59"/>
  <c r="M620" i="59" s="1"/>
  <c r="K464" i="59"/>
  <c r="K620" i="59" s="1"/>
  <c r="I464" i="59"/>
  <c r="I620" i="59" s="1"/>
  <c r="J431" i="59"/>
  <c r="J587" i="59" s="1"/>
  <c r="J117" i="67"/>
  <c r="J156" i="67" s="1"/>
  <c r="I201" i="53"/>
  <c r="H201" i="53"/>
  <c r="G201" i="53"/>
  <c r="P162" i="53"/>
  <c r="S200" i="53" s="1"/>
  <c r="S419" i="59" s="1"/>
  <c r="K736" i="67"/>
  <c r="K706" i="67"/>
  <c r="P61" i="53"/>
  <c r="S99" i="53" s="1"/>
  <c r="S197" i="59" s="1"/>
  <c r="S353" i="59" s="1"/>
  <c r="I215" i="53"/>
  <c r="H215" i="53"/>
  <c r="G215" i="53"/>
  <c r="N119" i="67"/>
  <c r="N158" i="67" s="1"/>
  <c r="R433" i="59"/>
  <c r="R589" i="59" s="1"/>
  <c r="O180" i="53"/>
  <c r="K218" i="53" s="1"/>
  <c r="K437" i="59" s="1"/>
  <c r="K593" i="59" s="1"/>
  <c r="J754" i="67"/>
  <c r="F754" i="67" s="1"/>
  <c r="P66" i="53"/>
  <c r="S104" i="53" s="1"/>
  <c r="S202" i="59" s="1"/>
  <c r="S358" i="59" s="1"/>
  <c r="K711" i="67"/>
  <c r="O76" i="53"/>
  <c r="K114" i="53" s="1"/>
  <c r="K212" i="59" s="1"/>
  <c r="K368" i="59" s="1"/>
  <c r="J721" i="67"/>
  <c r="F721" i="67" s="1"/>
  <c r="I317" i="53"/>
  <c r="H317" i="53"/>
  <c r="G317" i="53"/>
  <c r="Q222" i="53"/>
  <c r="P222" i="53"/>
  <c r="O222" i="53"/>
  <c r="L78" i="53"/>
  <c r="P391" i="67"/>
  <c r="P429" i="67" s="1"/>
  <c r="F429" i="67" s="1"/>
  <c r="J169" i="54"/>
  <c r="O192" i="53"/>
  <c r="K230" i="53" s="1"/>
  <c r="K449" i="59" s="1"/>
  <c r="K605" i="59" s="1"/>
  <c r="J766" i="67"/>
  <c r="J748" i="67"/>
  <c r="O174" i="53"/>
  <c r="K212" i="53" s="1"/>
  <c r="K431" i="59" s="1"/>
  <c r="K587" i="59" s="1"/>
  <c r="I113" i="53"/>
  <c r="G113" i="53"/>
  <c r="H113" i="53"/>
  <c r="P224" i="53"/>
  <c r="O224" i="53"/>
  <c r="Q224" i="53"/>
  <c r="P461" i="67"/>
  <c r="P499" i="67" s="1"/>
  <c r="F499" i="67" s="1"/>
  <c r="J315" i="54"/>
  <c r="L183" i="53"/>
  <c r="Q109" i="53"/>
  <c r="O109" i="53"/>
  <c r="P109" i="53"/>
  <c r="P457" i="67"/>
  <c r="P495" i="67" s="1"/>
  <c r="F495" i="67" s="1"/>
  <c r="J311" i="54"/>
  <c r="L179" i="53"/>
  <c r="K697" i="67"/>
  <c r="P52" i="53"/>
  <c r="S90" i="53" s="1"/>
  <c r="S188" i="59" s="1"/>
  <c r="S344" i="59" s="1"/>
  <c r="K762" i="67"/>
  <c r="P188" i="53"/>
  <c r="S226" i="53" s="1"/>
  <c r="S445" i="59" s="1"/>
  <c r="S601" i="59" s="1"/>
  <c r="O439" i="67"/>
  <c r="O477" i="67" s="1"/>
  <c r="O478" i="67"/>
  <c r="P279" i="53"/>
  <c r="S317" i="53" s="1"/>
  <c r="S657" i="59" s="1"/>
  <c r="K782" i="67"/>
  <c r="O490" i="59"/>
  <c r="O646" i="59" s="1"/>
  <c r="K490" i="59"/>
  <c r="K646" i="59" s="1"/>
  <c r="L490" i="59"/>
  <c r="L646" i="59" s="1"/>
  <c r="M490" i="59"/>
  <c r="M646" i="59" s="1"/>
  <c r="H490" i="59"/>
  <c r="H646" i="59" s="1"/>
  <c r="J490" i="59"/>
  <c r="J646" i="59" s="1"/>
  <c r="N490" i="59"/>
  <c r="N646" i="59" s="1"/>
  <c r="I490" i="59"/>
  <c r="I646" i="59" s="1"/>
  <c r="G490" i="59"/>
  <c r="G646" i="59" s="1"/>
  <c r="R671" i="59"/>
  <c r="R827" i="59" s="1"/>
  <c r="N203" i="67"/>
  <c r="N242" i="67" s="1"/>
  <c r="H466" i="54"/>
  <c r="S293" i="53"/>
  <c r="M671" i="59" s="1"/>
  <c r="M827" i="59" s="1"/>
  <c r="J718" i="59"/>
  <c r="J874" i="59" s="1"/>
  <c r="L718" i="59"/>
  <c r="L874" i="59" s="1"/>
  <c r="O718" i="59"/>
  <c r="O874" i="59" s="1"/>
  <c r="G718" i="59"/>
  <c r="G874" i="59" s="1"/>
  <c r="M718" i="59"/>
  <c r="M874" i="59" s="1"/>
  <c r="N718" i="59"/>
  <c r="N874" i="59" s="1"/>
  <c r="I718" i="59"/>
  <c r="I874" i="59" s="1"/>
  <c r="K718" i="59"/>
  <c r="K874" i="59" s="1"/>
  <c r="H718" i="59"/>
  <c r="H874" i="59" s="1"/>
  <c r="J158" i="54"/>
  <c r="L67" i="53"/>
  <c r="P380" i="67"/>
  <c r="P418" i="67" s="1"/>
  <c r="F418" i="67" s="1"/>
  <c r="I726" i="59"/>
  <c r="I882" i="59" s="1"/>
  <c r="G726" i="59"/>
  <c r="G882" i="59" s="1"/>
  <c r="O726" i="59"/>
  <c r="O882" i="59" s="1"/>
  <c r="J726" i="59"/>
  <c r="J882" i="59" s="1"/>
  <c r="L726" i="59"/>
  <c r="L882" i="59" s="1"/>
  <c r="M726" i="59"/>
  <c r="M882" i="59" s="1"/>
  <c r="H726" i="59"/>
  <c r="H882" i="59" s="1"/>
  <c r="N726" i="59"/>
  <c r="N882" i="59" s="1"/>
  <c r="K726" i="59"/>
  <c r="K882" i="59" s="1"/>
  <c r="K802" i="67"/>
  <c r="P299" i="53"/>
  <c r="S337" i="53" s="1"/>
  <c r="S677" i="59" s="1"/>
  <c r="S833" i="59" s="1"/>
  <c r="J191" i="67"/>
  <c r="J230" i="67" s="1"/>
  <c r="J659" i="59"/>
  <c r="J815" i="59" s="1"/>
  <c r="I343" i="53"/>
  <c r="G343" i="53"/>
  <c r="H343" i="53"/>
  <c r="P284" i="53"/>
  <c r="S322" i="53" s="1"/>
  <c r="S662" i="59" s="1"/>
  <c r="S818" i="59" s="1"/>
  <c r="K787" i="67"/>
  <c r="J768" i="67"/>
  <c r="F768" i="67" s="1"/>
  <c r="O194" i="53"/>
  <c r="K232" i="53" s="1"/>
  <c r="K451" i="59" s="1"/>
  <c r="K607" i="59" s="1"/>
  <c r="N277" i="67"/>
  <c r="N316" i="67" s="1"/>
  <c r="R899" i="59"/>
  <c r="R1055" i="59" s="1"/>
  <c r="O308" i="53"/>
  <c r="K346" i="53" s="1"/>
  <c r="K686" i="59" s="1"/>
  <c r="K842" i="59" s="1"/>
  <c r="J811" i="67"/>
  <c r="F811" i="67" s="1"/>
  <c r="S169" i="53"/>
  <c r="M426" i="59" s="1"/>
  <c r="M582" i="59" s="1"/>
  <c r="H301" i="54"/>
  <c r="P229" i="53"/>
  <c r="O229" i="53"/>
  <c r="Q229" i="53"/>
  <c r="O398" i="53"/>
  <c r="K436" i="53" s="1"/>
  <c r="K897" i="59" s="1"/>
  <c r="K1053" i="59" s="1"/>
  <c r="J830" i="67"/>
  <c r="F830" i="67" s="1"/>
  <c r="J217" i="67"/>
  <c r="J256" i="67" s="1"/>
  <c r="J685" i="59"/>
  <c r="J841" i="59" s="1"/>
  <c r="J742" i="67"/>
  <c r="O168" i="53"/>
  <c r="K206" i="53" s="1"/>
  <c r="K425" i="59" s="1"/>
  <c r="K581" i="59" s="1"/>
  <c r="J810" i="67"/>
  <c r="F810" i="67" s="1"/>
  <c r="O307" i="53"/>
  <c r="K345" i="53" s="1"/>
  <c r="K685" i="59" s="1"/>
  <c r="K841" i="59" s="1"/>
  <c r="O968" i="59"/>
  <c r="O1124" i="59" s="1"/>
  <c r="M968" i="59"/>
  <c r="M1124" i="59" s="1"/>
  <c r="H968" i="59"/>
  <c r="H1124" i="59" s="1"/>
  <c r="K968" i="59"/>
  <c r="K1124" i="59" s="1"/>
  <c r="G968" i="59"/>
  <c r="G1124" i="59" s="1"/>
  <c r="L968" i="59"/>
  <c r="L1124" i="59" s="1"/>
  <c r="J968" i="59"/>
  <c r="J1124" i="59" s="1"/>
  <c r="N968" i="59"/>
  <c r="N1124" i="59" s="1"/>
  <c r="I968" i="59"/>
  <c r="I1124" i="59" s="1"/>
  <c r="N215" i="67"/>
  <c r="N254" i="67" s="1"/>
  <c r="R683" i="59"/>
  <c r="R839" i="59" s="1"/>
  <c r="R184" i="59"/>
  <c r="R340" i="59" s="1"/>
  <c r="N24" i="67"/>
  <c r="N63" i="67" s="1"/>
  <c r="N282" i="67"/>
  <c r="N321" i="67" s="1"/>
  <c r="R904" i="59"/>
  <c r="R1060" i="59" s="1"/>
  <c r="J706" i="59"/>
  <c r="J862" i="59" s="1"/>
  <c r="H706" i="59"/>
  <c r="H862" i="59" s="1"/>
  <c r="I706" i="59"/>
  <c r="I862" i="59" s="1"/>
  <c r="G706" i="59"/>
  <c r="G862" i="59" s="1"/>
  <c r="K706" i="59"/>
  <c r="K862" i="59" s="1"/>
  <c r="N706" i="59"/>
  <c r="N862" i="59" s="1"/>
  <c r="O706" i="59"/>
  <c r="O862" i="59" s="1"/>
  <c r="M706" i="59"/>
  <c r="M862" i="59" s="1"/>
  <c r="L706" i="59"/>
  <c r="L862" i="59" s="1"/>
  <c r="G727" i="59"/>
  <c r="G883" i="59" s="1"/>
  <c r="I727" i="59"/>
  <c r="I883" i="59" s="1"/>
  <c r="O727" i="59"/>
  <c r="O883" i="59" s="1"/>
  <c r="H727" i="59"/>
  <c r="H883" i="59" s="1"/>
  <c r="N727" i="59"/>
  <c r="N883" i="59" s="1"/>
  <c r="K727" i="59"/>
  <c r="K883" i="59" s="1"/>
  <c r="J727" i="59"/>
  <c r="J883" i="59" s="1"/>
  <c r="L727" i="59"/>
  <c r="L883" i="59" s="1"/>
  <c r="M727" i="59"/>
  <c r="M883" i="59" s="1"/>
  <c r="S409" i="53"/>
  <c r="M908" i="59" s="1"/>
  <c r="M1064" i="59" s="1"/>
  <c r="H623" i="54"/>
  <c r="J477" i="54"/>
  <c r="P547" i="67"/>
  <c r="P585" i="67" s="1"/>
  <c r="F585" i="67" s="1"/>
  <c r="L304" i="53"/>
  <c r="S312" i="53"/>
  <c r="M690" i="59" s="1"/>
  <c r="M846" i="59" s="1"/>
  <c r="H485" i="54"/>
  <c r="J683" i="59"/>
  <c r="J839" i="59" s="1"/>
  <c r="J215" i="67"/>
  <c r="J254" i="67" s="1"/>
  <c r="L429" i="53"/>
  <c r="J643" i="54"/>
  <c r="P637" i="67"/>
  <c r="P675" i="67" s="1"/>
  <c r="F675" i="67" s="1"/>
  <c r="K816" i="67"/>
  <c r="P313" i="53"/>
  <c r="S351" i="53" s="1"/>
  <c r="S691" i="59" s="1"/>
  <c r="S847" i="59" s="1"/>
  <c r="P286" i="53"/>
  <c r="S324" i="53" s="1"/>
  <c r="S664" i="59" s="1"/>
  <c r="S820" i="59" s="1"/>
  <c r="K789" i="67"/>
  <c r="O941" i="59"/>
  <c r="O1097" i="59" s="1"/>
  <c r="K941" i="59"/>
  <c r="K1097" i="59" s="1"/>
  <c r="I941" i="59"/>
  <c r="I1097" i="59" s="1"/>
  <c r="M941" i="59"/>
  <c r="M1097" i="59" s="1"/>
  <c r="J941" i="59"/>
  <c r="J1097" i="59" s="1"/>
  <c r="G941" i="59"/>
  <c r="G1097" i="59" s="1"/>
  <c r="N941" i="59"/>
  <c r="N1097" i="59" s="1"/>
  <c r="L941" i="59"/>
  <c r="L1097" i="59" s="1"/>
  <c r="H941" i="59"/>
  <c r="H1097" i="59" s="1"/>
  <c r="K800" i="67"/>
  <c r="P297" i="53"/>
  <c r="S335" i="53" s="1"/>
  <c r="S675" i="59" s="1"/>
  <c r="S831" i="59" s="1"/>
  <c r="P406" i="53"/>
  <c r="S444" i="53" s="1"/>
  <c r="S905" i="59" s="1"/>
  <c r="S1061" i="59" s="1"/>
  <c r="K838" i="67"/>
  <c r="O178" i="53"/>
  <c r="K216" i="53" s="1"/>
  <c r="K435" i="59" s="1"/>
  <c r="K591" i="59" s="1"/>
  <c r="J752" i="67"/>
  <c r="F752" i="67" s="1"/>
  <c r="L951" i="59"/>
  <c r="L1107" i="59" s="1"/>
  <c r="J951" i="59"/>
  <c r="J1107" i="59" s="1"/>
  <c r="K951" i="59"/>
  <c r="K1107" i="59" s="1"/>
  <c r="G951" i="59"/>
  <c r="G1107" i="59" s="1"/>
  <c r="O951" i="59"/>
  <c r="O1107" i="59" s="1"/>
  <c r="H951" i="59"/>
  <c r="H1107" i="59" s="1"/>
  <c r="N951" i="59"/>
  <c r="N1107" i="59" s="1"/>
  <c r="M951" i="59"/>
  <c r="M1107" i="59" s="1"/>
  <c r="I951" i="59"/>
  <c r="I1107" i="59" s="1"/>
  <c r="I339" i="53"/>
  <c r="H339" i="53"/>
  <c r="G339" i="53"/>
  <c r="L954" i="59"/>
  <c r="L1110" i="59" s="1"/>
  <c r="H954" i="59"/>
  <c r="H1110" i="59" s="1"/>
  <c r="I954" i="59"/>
  <c r="I1110" i="59" s="1"/>
  <c r="O954" i="59"/>
  <c r="O1110" i="59" s="1"/>
  <c r="K954" i="59"/>
  <c r="K1110" i="59" s="1"/>
  <c r="N954" i="59"/>
  <c r="N1110" i="59" s="1"/>
  <c r="G954" i="59"/>
  <c r="G1110" i="59" s="1"/>
  <c r="J954" i="59"/>
  <c r="J1110" i="59" s="1"/>
  <c r="M954" i="59"/>
  <c r="M1110" i="59" s="1"/>
  <c r="N729" i="59"/>
  <c r="N885" i="59" s="1"/>
  <c r="H729" i="59"/>
  <c r="H885" i="59" s="1"/>
  <c r="O729" i="59"/>
  <c r="O885" i="59" s="1"/>
  <c r="I729" i="59"/>
  <c r="I885" i="59" s="1"/>
  <c r="L729" i="59"/>
  <c r="L885" i="59" s="1"/>
  <c r="G729" i="59"/>
  <c r="G885" i="59" s="1"/>
  <c r="M729" i="59"/>
  <c r="M885" i="59" s="1"/>
  <c r="K729" i="59"/>
  <c r="K885" i="59" s="1"/>
  <c r="J729" i="59"/>
  <c r="J885" i="59" s="1"/>
  <c r="P440" i="53"/>
  <c r="Q440" i="53"/>
  <c r="O440" i="53"/>
  <c r="Q343" i="53"/>
  <c r="O343" i="53"/>
  <c r="P343" i="53"/>
  <c r="S402" i="53"/>
  <c r="M901" i="59" s="1"/>
  <c r="M1057" i="59" s="1"/>
  <c r="H616" i="54"/>
  <c r="S296" i="53"/>
  <c r="M674" i="59" s="1"/>
  <c r="M830" i="59" s="1"/>
  <c r="H469" i="54"/>
  <c r="P448" i="53"/>
  <c r="Q448" i="53"/>
  <c r="O448" i="53"/>
  <c r="O305" i="53"/>
  <c r="K343" i="53" s="1"/>
  <c r="K683" i="59" s="1"/>
  <c r="K839" i="59" s="1"/>
  <c r="J808" i="67"/>
  <c r="F808" i="67" s="1"/>
  <c r="L402" i="53"/>
  <c r="P610" i="67"/>
  <c r="P648" i="67" s="1"/>
  <c r="F648" i="67" s="1"/>
  <c r="J616" i="54"/>
  <c r="L296" i="53"/>
  <c r="P539" i="67"/>
  <c r="P577" i="67" s="1"/>
  <c r="F577" i="67" s="1"/>
  <c r="J469" i="54"/>
  <c r="N223" i="67"/>
  <c r="N262" i="67" s="1"/>
  <c r="R691" i="59"/>
  <c r="R847" i="59" s="1"/>
  <c r="H324" i="53"/>
  <c r="G324" i="53"/>
  <c r="I324" i="53"/>
  <c r="P410" i="53"/>
  <c r="S448" i="53" s="1"/>
  <c r="S909" i="59" s="1"/>
  <c r="S1065" i="59" s="1"/>
  <c r="K842" i="67"/>
  <c r="P522" i="67"/>
  <c r="J452" i="54"/>
  <c r="L279" i="53"/>
  <c r="P456" i="67"/>
  <c r="P494" i="67" s="1"/>
  <c r="F494" i="67" s="1"/>
  <c r="J310" i="54"/>
  <c r="L178" i="53"/>
  <c r="R919" i="59"/>
  <c r="R1075" i="59" s="1"/>
  <c r="N297" i="67"/>
  <c r="N336" i="67" s="1"/>
  <c r="H472" i="54"/>
  <c r="F472" i="54" s="1"/>
  <c r="F354" i="54" s="1"/>
  <c r="D149" i="49" s="1"/>
  <c r="S299" i="53"/>
  <c r="M677" i="59" s="1"/>
  <c r="M833" i="59" s="1"/>
  <c r="O438" i="53"/>
  <c r="P438" i="53"/>
  <c r="Q438" i="53"/>
  <c r="G331" i="53"/>
  <c r="H331" i="53"/>
  <c r="I331" i="53"/>
  <c r="P466" i="67"/>
  <c r="P504" i="67" s="1"/>
  <c r="F504" i="67" s="1"/>
  <c r="J320" i="54"/>
  <c r="L188" i="53"/>
  <c r="N296" i="67"/>
  <c r="N335" i="67" s="1"/>
  <c r="R918" i="59"/>
  <c r="R1074" i="59" s="1"/>
  <c r="Q335" i="53"/>
  <c r="O335" i="53"/>
  <c r="P335" i="53"/>
  <c r="K831" i="67"/>
  <c r="P399" i="53"/>
  <c r="S437" i="53" s="1"/>
  <c r="S898" i="59" s="1"/>
  <c r="S1054" i="59" s="1"/>
  <c r="P220" i="53"/>
  <c r="O220" i="53"/>
  <c r="Q220" i="53"/>
  <c r="P418" i="53"/>
  <c r="S456" i="53" s="1"/>
  <c r="S917" i="59" s="1"/>
  <c r="S1073" i="59" s="1"/>
  <c r="K850" i="67"/>
  <c r="J759" i="67"/>
  <c r="O185" i="53"/>
  <c r="K223" i="53" s="1"/>
  <c r="K442" i="59" s="1"/>
  <c r="K598" i="59" s="1"/>
  <c r="I442" i="53"/>
  <c r="G442" i="53"/>
  <c r="H442" i="53"/>
  <c r="H316" i="54"/>
  <c r="S184" i="53"/>
  <c r="M441" i="59" s="1"/>
  <c r="M597" i="59" s="1"/>
  <c r="P426" i="53"/>
  <c r="S464" i="53" s="1"/>
  <c r="S925" i="59" s="1"/>
  <c r="S1081" i="59" s="1"/>
  <c r="K858" i="67"/>
  <c r="I437" i="53"/>
  <c r="G437" i="53"/>
  <c r="H437" i="53"/>
  <c r="O458" i="53"/>
  <c r="P458" i="53"/>
  <c r="Q458" i="53"/>
  <c r="H622" i="54"/>
  <c r="S408" i="53"/>
  <c r="M907" i="59" s="1"/>
  <c r="M1063" i="59" s="1"/>
  <c r="P550" i="67"/>
  <c r="P588" i="67" s="1"/>
  <c r="F588" i="67" s="1"/>
  <c r="J480" i="54"/>
  <c r="L307" i="53"/>
  <c r="O466" i="53"/>
  <c r="Q466" i="53"/>
  <c r="P466" i="53"/>
  <c r="P323" i="53"/>
  <c r="Q323" i="53"/>
  <c r="O323" i="53"/>
  <c r="H635" i="54"/>
  <c r="F635" i="54" s="1"/>
  <c r="F517" i="54" s="1"/>
  <c r="D196" i="49" s="1"/>
  <c r="K196" i="49" s="1"/>
  <c r="S421" i="53"/>
  <c r="M920" i="59" s="1"/>
  <c r="M1076" i="59" s="1"/>
  <c r="N281" i="67"/>
  <c r="N320" i="67" s="1"/>
  <c r="R903" i="59"/>
  <c r="R1059" i="59" s="1"/>
  <c r="J295" i="54"/>
  <c r="P441" i="67"/>
  <c r="P479" i="67" s="1"/>
  <c r="F479" i="67" s="1"/>
  <c r="L163" i="53"/>
  <c r="J299" i="67"/>
  <c r="J338" i="67" s="1"/>
  <c r="J921" i="59"/>
  <c r="J1077" i="59" s="1"/>
  <c r="O427" i="53"/>
  <c r="K465" i="53" s="1"/>
  <c r="K926" i="59" s="1"/>
  <c r="K1082" i="59" s="1"/>
  <c r="J859" i="67"/>
  <c r="F859" i="67" s="1"/>
  <c r="J471" i="59"/>
  <c r="J627" i="59" s="1"/>
  <c r="O471" i="59"/>
  <c r="O627" i="59" s="1"/>
  <c r="K471" i="59"/>
  <c r="K627" i="59" s="1"/>
  <c r="H471" i="59"/>
  <c r="H627" i="59" s="1"/>
  <c r="N471" i="59"/>
  <c r="N627" i="59" s="1"/>
  <c r="I471" i="59"/>
  <c r="I627" i="59" s="1"/>
  <c r="M471" i="59"/>
  <c r="M627" i="59" s="1"/>
  <c r="L471" i="59"/>
  <c r="L627" i="59" s="1"/>
  <c r="G471" i="59"/>
  <c r="G627" i="59" s="1"/>
  <c r="Q320" i="53"/>
  <c r="O320" i="53"/>
  <c r="P320" i="53"/>
  <c r="J298" i="67"/>
  <c r="J337" i="67" s="1"/>
  <c r="J920" i="59"/>
  <c r="J1076" i="59" s="1"/>
  <c r="H942" i="59"/>
  <c r="H1098" i="59" s="1"/>
  <c r="J942" i="59"/>
  <c r="J1098" i="59" s="1"/>
  <c r="I942" i="59"/>
  <c r="I1098" i="59" s="1"/>
  <c r="N942" i="59"/>
  <c r="N1098" i="59" s="1"/>
  <c r="L942" i="59"/>
  <c r="L1098" i="59" s="1"/>
  <c r="K942" i="59"/>
  <c r="K1098" i="59" s="1"/>
  <c r="G942" i="59"/>
  <c r="G1098" i="59" s="1"/>
  <c r="O942" i="59"/>
  <c r="O1098" i="59" s="1"/>
  <c r="M942" i="59"/>
  <c r="M1098" i="59" s="1"/>
  <c r="H465" i="53"/>
  <c r="I465" i="53"/>
  <c r="G465" i="53"/>
  <c r="L430" i="53"/>
  <c r="P638" i="67"/>
  <c r="P676" i="67" s="1"/>
  <c r="F676" i="67" s="1"/>
  <c r="J644" i="54"/>
  <c r="J790" i="67"/>
  <c r="F790" i="67" s="1"/>
  <c r="O287" i="53"/>
  <c r="K325" i="53" s="1"/>
  <c r="K665" i="59" s="1"/>
  <c r="K821" i="59" s="1"/>
  <c r="R924" i="59"/>
  <c r="R1080" i="59" s="1"/>
  <c r="N302" i="67"/>
  <c r="N341" i="67" s="1"/>
  <c r="H465" i="54"/>
  <c r="S292" i="53"/>
  <c r="M670" i="59" s="1"/>
  <c r="M826" i="59" s="1"/>
  <c r="H348" i="53"/>
  <c r="I348" i="53"/>
  <c r="G348" i="53"/>
  <c r="L947" i="59"/>
  <c r="L1103" i="59" s="1"/>
  <c r="M947" i="59"/>
  <c r="M1103" i="59" s="1"/>
  <c r="O947" i="59"/>
  <c r="O1103" i="59" s="1"/>
  <c r="H947" i="59"/>
  <c r="H1103" i="59" s="1"/>
  <c r="J947" i="59"/>
  <c r="J1103" i="59" s="1"/>
  <c r="K947" i="59"/>
  <c r="K1103" i="59" s="1"/>
  <c r="N947" i="59"/>
  <c r="N1103" i="59" s="1"/>
  <c r="G947" i="59"/>
  <c r="G1103" i="59" s="1"/>
  <c r="I947" i="59"/>
  <c r="I1103" i="59" s="1"/>
  <c r="O720" i="59"/>
  <c r="O876" i="59" s="1"/>
  <c r="L720" i="59"/>
  <c r="L876" i="59" s="1"/>
  <c r="J720" i="59"/>
  <c r="J876" i="59" s="1"/>
  <c r="K720" i="59"/>
  <c r="K876" i="59" s="1"/>
  <c r="M720" i="59"/>
  <c r="M876" i="59" s="1"/>
  <c r="N720" i="59"/>
  <c r="N876" i="59" s="1"/>
  <c r="H720" i="59"/>
  <c r="H876" i="59" s="1"/>
  <c r="G720" i="59"/>
  <c r="G876" i="59" s="1"/>
  <c r="I720" i="59"/>
  <c r="I876" i="59" s="1"/>
  <c r="I221" i="53"/>
  <c r="H221" i="53"/>
  <c r="G221" i="53"/>
  <c r="H463" i="54"/>
  <c r="F463" i="54" s="1"/>
  <c r="F345" i="54" s="1"/>
  <c r="D140" i="49" s="1"/>
  <c r="S290" i="53"/>
  <c r="M668" i="59" s="1"/>
  <c r="M824" i="59" s="1"/>
  <c r="N299" i="67"/>
  <c r="N338" i="67" s="1"/>
  <c r="R921" i="59"/>
  <c r="R1077" i="59" s="1"/>
  <c r="G725" i="59"/>
  <c r="G881" i="59" s="1"/>
  <c r="K725" i="59"/>
  <c r="K881" i="59" s="1"/>
  <c r="J725" i="59"/>
  <c r="J881" i="59" s="1"/>
  <c r="M725" i="59"/>
  <c r="M881" i="59" s="1"/>
  <c r="N725" i="59"/>
  <c r="N881" i="59" s="1"/>
  <c r="O725" i="59"/>
  <c r="O881" i="59" s="1"/>
  <c r="H725" i="59"/>
  <c r="H881" i="59" s="1"/>
  <c r="I725" i="59"/>
  <c r="I881" i="59" s="1"/>
  <c r="L725" i="59"/>
  <c r="L881" i="59" s="1"/>
  <c r="O715" i="59"/>
  <c r="O871" i="59" s="1"/>
  <c r="G715" i="59"/>
  <c r="G871" i="59" s="1"/>
  <c r="M715" i="59"/>
  <c r="M871" i="59" s="1"/>
  <c r="L715" i="59"/>
  <c r="L871" i="59" s="1"/>
  <c r="J715" i="59"/>
  <c r="J871" i="59" s="1"/>
  <c r="N715" i="59"/>
  <c r="N871" i="59" s="1"/>
  <c r="H715" i="59"/>
  <c r="H871" i="59" s="1"/>
  <c r="I715" i="59"/>
  <c r="I871" i="59" s="1"/>
  <c r="K715" i="59"/>
  <c r="K871" i="59" s="1"/>
  <c r="H345" i="53"/>
  <c r="G345" i="53"/>
  <c r="I345" i="53"/>
  <c r="J925" i="59"/>
  <c r="J1081" i="59" s="1"/>
  <c r="J303" i="67"/>
  <c r="J342" i="67" s="1"/>
  <c r="O414" i="53"/>
  <c r="K452" i="53" s="1"/>
  <c r="K913" i="59" s="1"/>
  <c r="K1069" i="59" s="1"/>
  <c r="J846" i="67"/>
  <c r="F846" i="67" s="1"/>
  <c r="J212" i="67"/>
  <c r="J251" i="67" s="1"/>
  <c r="J680" i="59"/>
  <c r="J836" i="59" s="1"/>
  <c r="R909" i="59"/>
  <c r="R1065" i="59" s="1"/>
  <c r="N287" i="67"/>
  <c r="N326" i="67" s="1"/>
  <c r="J223" i="67"/>
  <c r="J262" i="67" s="1"/>
  <c r="J691" i="59"/>
  <c r="J847" i="59" s="1"/>
  <c r="H322" i="54"/>
  <c r="F322" i="54" s="1"/>
  <c r="F204" i="54" s="1"/>
  <c r="D115" i="49" s="1"/>
  <c r="K115" i="49" s="1"/>
  <c r="S190" i="53"/>
  <c r="M447" i="59" s="1"/>
  <c r="M603" i="59" s="1"/>
  <c r="O83" i="53"/>
  <c r="P83" i="53"/>
  <c r="Q83" i="53"/>
  <c r="O102" i="53"/>
  <c r="P102" i="53"/>
  <c r="Q102" i="53"/>
  <c r="J710" i="67"/>
  <c r="O65" i="53"/>
  <c r="K103" i="53" s="1"/>
  <c r="K201" i="59" s="1"/>
  <c r="K357" i="59" s="1"/>
  <c r="K742" i="67"/>
  <c r="P168" i="53"/>
  <c r="S206" i="53" s="1"/>
  <c r="S425" i="59" s="1"/>
  <c r="S581" i="59" s="1"/>
  <c r="N33" i="67"/>
  <c r="N72" i="67" s="1"/>
  <c r="R193" i="59"/>
  <c r="R349" i="59" s="1"/>
  <c r="S53" i="53"/>
  <c r="M189" i="59" s="1"/>
  <c r="M345" i="59" s="1"/>
  <c r="H144" i="54"/>
  <c r="O116" i="53"/>
  <c r="P116" i="53"/>
  <c r="Q116" i="53"/>
  <c r="P390" i="67"/>
  <c r="P428" i="67" s="1"/>
  <c r="F428" i="67" s="1"/>
  <c r="J168" i="54"/>
  <c r="L77" i="53"/>
  <c r="J716" i="67"/>
  <c r="F716" i="67" s="1"/>
  <c r="O71" i="53"/>
  <c r="K109" i="53" s="1"/>
  <c r="K207" i="59" s="1"/>
  <c r="K363" i="59" s="1"/>
  <c r="S62" i="53"/>
  <c r="M198" i="59" s="1"/>
  <c r="M354" i="59" s="1"/>
  <c r="H153" i="54"/>
  <c r="F153" i="54" s="1"/>
  <c r="F35" i="54" s="1"/>
  <c r="D62" i="49" s="1"/>
  <c r="R423" i="59"/>
  <c r="R579" i="59" s="1"/>
  <c r="N109" i="67"/>
  <c r="N148" i="67" s="1"/>
  <c r="P100" i="53"/>
  <c r="O100" i="53"/>
  <c r="Q100" i="53"/>
  <c r="O112" i="53"/>
  <c r="P112" i="53"/>
  <c r="Q112" i="53"/>
  <c r="I91" i="53"/>
  <c r="H91" i="53"/>
  <c r="G91" i="53"/>
  <c r="J202" i="59"/>
  <c r="J358" i="59" s="1"/>
  <c r="J42" i="67"/>
  <c r="J81" i="67" s="1"/>
  <c r="G207" i="53"/>
  <c r="H207" i="53"/>
  <c r="I207" i="53"/>
  <c r="I237" i="59"/>
  <c r="I393" i="59" s="1"/>
  <c r="N237" i="59"/>
  <c r="N393" i="59" s="1"/>
  <c r="O237" i="59"/>
  <c r="O393" i="59" s="1"/>
  <c r="H237" i="59"/>
  <c r="H393" i="59" s="1"/>
  <c r="L237" i="59"/>
  <c r="L393" i="59" s="1"/>
  <c r="M237" i="59"/>
  <c r="M393" i="59" s="1"/>
  <c r="J237" i="59"/>
  <c r="J393" i="59" s="1"/>
  <c r="G237" i="59"/>
  <c r="G393" i="59" s="1"/>
  <c r="K237" i="59"/>
  <c r="K393" i="59" s="1"/>
  <c r="S74" i="53"/>
  <c r="M210" i="59" s="1"/>
  <c r="M366" i="59" s="1"/>
  <c r="H165" i="54"/>
  <c r="F165" i="54" s="1"/>
  <c r="F47" i="54" s="1"/>
  <c r="D74" i="49" s="1"/>
  <c r="J396" i="67"/>
  <c r="J357" i="67"/>
  <c r="J395" i="67" s="1"/>
  <c r="J746" i="67"/>
  <c r="F746" i="67" s="1"/>
  <c r="O172" i="53"/>
  <c r="K210" i="53" s="1"/>
  <c r="K429" i="59" s="1"/>
  <c r="K585" i="59" s="1"/>
  <c r="J45" i="67"/>
  <c r="J84" i="67" s="1"/>
  <c r="J205" i="59"/>
  <c r="J361" i="59" s="1"/>
  <c r="J156" i="54"/>
  <c r="P378" i="67"/>
  <c r="P416" i="67" s="1"/>
  <c r="F416" i="67" s="1"/>
  <c r="L65" i="53"/>
  <c r="N36" i="67"/>
  <c r="N75" i="67" s="1"/>
  <c r="R196" i="59"/>
  <c r="R352" i="59" s="1"/>
  <c r="J54" i="67"/>
  <c r="J93" i="67" s="1"/>
  <c r="J214" i="59"/>
  <c r="J370" i="59" s="1"/>
  <c r="H147" i="54"/>
  <c r="S56" i="53"/>
  <c r="M192" i="59" s="1"/>
  <c r="M348" i="59" s="1"/>
  <c r="I200" i="53"/>
  <c r="H200" i="53"/>
  <c r="G200" i="53"/>
  <c r="J722" i="67"/>
  <c r="F722" i="67" s="1"/>
  <c r="O77" i="53"/>
  <c r="K115" i="53" s="1"/>
  <c r="K213" i="59" s="1"/>
  <c r="K369" i="59" s="1"/>
  <c r="J430" i="59"/>
  <c r="J586" i="59" s="1"/>
  <c r="J116" i="67"/>
  <c r="J155" i="67" s="1"/>
  <c r="R188" i="59"/>
  <c r="R344" i="59" s="1"/>
  <c r="N28" i="67"/>
  <c r="N67" i="67" s="1"/>
  <c r="J38" i="67"/>
  <c r="J77" i="67" s="1"/>
  <c r="J198" i="59"/>
  <c r="J354" i="59" s="1"/>
  <c r="J37" i="67"/>
  <c r="J76" i="67" s="1"/>
  <c r="J197" i="59"/>
  <c r="J353" i="59" s="1"/>
  <c r="L239" i="59"/>
  <c r="L395" i="59" s="1"/>
  <c r="G239" i="59"/>
  <c r="G395" i="59" s="1"/>
  <c r="K239" i="59"/>
  <c r="K395" i="59" s="1"/>
  <c r="O239" i="59"/>
  <c r="O395" i="59" s="1"/>
  <c r="N239" i="59"/>
  <c r="N395" i="59" s="1"/>
  <c r="M239" i="59"/>
  <c r="M395" i="59" s="1"/>
  <c r="H239" i="59"/>
  <c r="H395" i="59" s="1"/>
  <c r="J239" i="59"/>
  <c r="J395" i="59" s="1"/>
  <c r="I239" i="59"/>
  <c r="I395" i="59" s="1"/>
  <c r="P452" i="67"/>
  <c r="P490" i="67" s="1"/>
  <c r="F490" i="67" s="1"/>
  <c r="L174" i="53"/>
  <c r="J306" i="54"/>
  <c r="J420" i="59"/>
  <c r="J576" i="59" s="1"/>
  <c r="J106" i="67"/>
  <c r="J145" i="67" s="1"/>
  <c r="G211" i="53"/>
  <c r="H211" i="53"/>
  <c r="I211" i="53"/>
  <c r="J299" i="54"/>
  <c r="L167" i="53"/>
  <c r="P445" i="67"/>
  <c r="P483" i="67" s="1"/>
  <c r="F483" i="67" s="1"/>
  <c r="P117" i="53"/>
  <c r="O117" i="53"/>
  <c r="Q117" i="53"/>
  <c r="I396" i="67"/>
  <c r="I357" i="67"/>
  <c r="I395" i="67" s="1"/>
  <c r="J424" i="59"/>
  <c r="J580" i="59" s="1"/>
  <c r="J110" i="67"/>
  <c r="J149" i="67" s="1"/>
  <c r="S176" i="53"/>
  <c r="M433" i="59" s="1"/>
  <c r="M589" i="59" s="1"/>
  <c r="H308" i="54"/>
  <c r="O107" i="53"/>
  <c r="P107" i="53"/>
  <c r="Q107" i="53"/>
  <c r="H311" i="54"/>
  <c r="S179" i="53"/>
  <c r="M436" i="59" s="1"/>
  <c r="M592" i="59" s="1"/>
  <c r="H142" i="54"/>
  <c r="S51" i="53"/>
  <c r="M187" i="59" s="1"/>
  <c r="M343" i="59" s="1"/>
  <c r="O217" i="53"/>
  <c r="Q217" i="53"/>
  <c r="P217" i="53"/>
  <c r="S173" i="53"/>
  <c r="M430" i="59" s="1"/>
  <c r="M586" i="59" s="1"/>
  <c r="H305" i="54"/>
  <c r="H314" i="54"/>
  <c r="S182" i="53"/>
  <c r="M439" i="59" s="1"/>
  <c r="M595" i="59" s="1"/>
  <c r="P196" i="53"/>
  <c r="S234" i="53" s="1"/>
  <c r="S453" i="59" s="1"/>
  <c r="S609" i="59" s="1"/>
  <c r="K770" i="67"/>
  <c r="L45" i="53"/>
  <c r="P358" i="67"/>
  <c r="J136" i="54"/>
  <c r="S181" i="53"/>
  <c r="M438" i="59" s="1"/>
  <c r="M594" i="59" s="1"/>
  <c r="H313" i="54"/>
  <c r="J210" i="59"/>
  <c r="J366" i="59" s="1"/>
  <c r="J50" i="67"/>
  <c r="J89" i="67" s="1"/>
  <c r="H326" i="54"/>
  <c r="S194" i="53"/>
  <c r="M451" i="59" s="1"/>
  <c r="M607" i="59" s="1"/>
  <c r="G205" i="53"/>
  <c r="I205" i="53"/>
  <c r="H205" i="53"/>
  <c r="L521" i="67"/>
  <c r="L559" i="67" s="1"/>
  <c r="L560" i="67"/>
  <c r="K481" i="59"/>
  <c r="K637" i="59" s="1"/>
  <c r="I481" i="59"/>
  <c r="I637" i="59" s="1"/>
  <c r="G481" i="59"/>
  <c r="G637" i="59" s="1"/>
  <c r="O481" i="59"/>
  <c r="O637" i="59" s="1"/>
  <c r="N481" i="59"/>
  <c r="N637" i="59" s="1"/>
  <c r="L481" i="59"/>
  <c r="L637" i="59" s="1"/>
  <c r="M481" i="59"/>
  <c r="M637" i="59" s="1"/>
  <c r="J481" i="59"/>
  <c r="J637" i="59" s="1"/>
  <c r="H481" i="59"/>
  <c r="H637" i="59" s="1"/>
  <c r="J450" i="59"/>
  <c r="J606" i="59" s="1"/>
  <c r="J136" i="67"/>
  <c r="J175" i="67" s="1"/>
  <c r="J480" i="59"/>
  <c r="J636" i="59" s="1"/>
  <c r="N480" i="59"/>
  <c r="N636" i="59" s="1"/>
  <c r="L480" i="59"/>
  <c r="L636" i="59" s="1"/>
  <c r="M480" i="59"/>
  <c r="M636" i="59" s="1"/>
  <c r="K480" i="59"/>
  <c r="K636" i="59" s="1"/>
  <c r="H480" i="59"/>
  <c r="H636" i="59" s="1"/>
  <c r="G480" i="59"/>
  <c r="G636" i="59" s="1"/>
  <c r="O480" i="59"/>
  <c r="O636" i="59" s="1"/>
  <c r="I480" i="59"/>
  <c r="I636" i="59" s="1"/>
  <c r="J435" i="59"/>
  <c r="J591" i="59" s="1"/>
  <c r="J121" i="67"/>
  <c r="J160" i="67" s="1"/>
  <c r="S72" i="53"/>
  <c r="M208" i="59" s="1"/>
  <c r="M364" i="59" s="1"/>
  <c r="H163" i="54"/>
  <c r="P453" i="67"/>
  <c r="P491" i="67" s="1"/>
  <c r="F491" i="67" s="1"/>
  <c r="L175" i="53"/>
  <c r="J307" i="54"/>
  <c r="J740" i="67"/>
  <c r="O166" i="53"/>
  <c r="K204" i="53" s="1"/>
  <c r="K423" i="59" s="1"/>
  <c r="K579" i="59" s="1"/>
  <c r="O521" i="67"/>
  <c r="O559" i="67" s="1"/>
  <c r="O560" i="67"/>
  <c r="S59" i="53"/>
  <c r="M195" i="59" s="1"/>
  <c r="M351" i="59" s="1"/>
  <c r="H150" i="54"/>
  <c r="F150" i="54" s="1"/>
  <c r="F32" i="54" s="1"/>
  <c r="D59" i="49" s="1"/>
  <c r="J134" i="67"/>
  <c r="J173" i="67" s="1"/>
  <c r="J448" i="59"/>
  <c r="J604" i="59" s="1"/>
  <c r="I334" i="53"/>
  <c r="H334" i="53"/>
  <c r="G334" i="53"/>
  <c r="J135" i="67"/>
  <c r="J174" i="67" s="1"/>
  <c r="J449" i="59"/>
  <c r="J605" i="59" s="1"/>
  <c r="P283" i="53"/>
  <c r="S321" i="53" s="1"/>
  <c r="S661" i="59" s="1"/>
  <c r="S817" i="59" s="1"/>
  <c r="K786" i="67"/>
  <c r="O406" i="53"/>
  <c r="K444" i="53" s="1"/>
  <c r="K905" i="59" s="1"/>
  <c r="K1061" i="59" s="1"/>
  <c r="J838" i="67"/>
  <c r="P291" i="53"/>
  <c r="S329" i="53" s="1"/>
  <c r="S669" i="59" s="1"/>
  <c r="S825" i="59" s="1"/>
  <c r="K794" i="67"/>
  <c r="K711" i="59"/>
  <c r="K867" i="59" s="1"/>
  <c r="I711" i="59"/>
  <c r="I867" i="59" s="1"/>
  <c r="M711" i="59"/>
  <c r="M867" i="59" s="1"/>
  <c r="J711" i="59"/>
  <c r="J867" i="59" s="1"/>
  <c r="O711" i="59"/>
  <c r="O867" i="59" s="1"/>
  <c r="H711" i="59"/>
  <c r="H867" i="59" s="1"/>
  <c r="N711" i="59"/>
  <c r="N867" i="59" s="1"/>
  <c r="G711" i="59"/>
  <c r="G867" i="59" s="1"/>
  <c r="L711" i="59"/>
  <c r="L867" i="59" s="1"/>
  <c r="P325" i="53"/>
  <c r="Q325" i="53"/>
  <c r="O325" i="53"/>
  <c r="J803" i="67"/>
  <c r="O300" i="53"/>
  <c r="K338" i="53" s="1"/>
  <c r="K678" i="59" s="1"/>
  <c r="K834" i="59" s="1"/>
  <c r="I560" i="67"/>
  <c r="I521" i="67"/>
  <c r="I559" i="67" s="1"/>
  <c r="S310" i="53"/>
  <c r="M688" i="59" s="1"/>
  <c r="M844" i="59" s="1"/>
  <c r="H483" i="54"/>
  <c r="F483" i="54" s="1"/>
  <c r="F365" i="54" s="1"/>
  <c r="D160" i="49" s="1"/>
  <c r="I328" i="53"/>
  <c r="H328" i="53"/>
  <c r="G328" i="53"/>
  <c r="N491" i="59"/>
  <c r="N647" i="59" s="1"/>
  <c r="K491" i="59"/>
  <c r="K647" i="59" s="1"/>
  <c r="H491" i="59"/>
  <c r="H647" i="59" s="1"/>
  <c r="G491" i="59"/>
  <c r="G647" i="59" s="1"/>
  <c r="M491" i="59"/>
  <c r="M647" i="59" s="1"/>
  <c r="J491" i="59"/>
  <c r="J647" i="59" s="1"/>
  <c r="O491" i="59"/>
  <c r="O647" i="59" s="1"/>
  <c r="L491" i="59"/>
  <c r="L647" i="59" s="1"/>
  <c r="I491" i="59"/>
  <c r="I647" i="59" s="1"/>
  <c r="S400" i="53"/>
  <c r="M899" i="59" s="1"/>
  <c r="M1055" i="59" s="1"/>
  <c r="H614" i="54"/>
  <c r="I336" i="53"/>
  <c r="H336" i="53"/>
  <c r="G336" i="53"/>
  <c r="J627" i="54"/>
  <c r="P621" i="67"/>
  <c r="P659" i="67" s="1"/>
  <c r="F659" i="67" s="1"/>
  <c r="L413" i="53"/>
  <c r="H474" i="54"/>
  <c r="S301" i="53"/>
  <c r="M679" i="59" s="1"/>
  <c r="M835" i="59" s="1"/>
  <c r="S401" i="53"/>
  <c r="M900" i="59" s="1"/>
  <c r="M1056" i="59" s="1"/>
  <c r="H615" i="54"/>
  <c r="F615" i="54" s="1"/>
  <c r="F497" i="54" s="1"/>
  <c r="D176" i="49" s="1"/>
  <c r="K176" i="49" s="1"/>
  <c r="R422" i="59"/>
  <c r="R578" i="59" s="1"/>
  <c r="N108" i="67"/>
  <c r="N147" i="67" s="1"/>
  <c r="H708" i="59"/>
  <c r="H864" i="59" s="1"/>
  <c r="L708" i="59"/>
  <c r="L864" i="59" s="1"/>
  <c r="J708" i="59"/>
  <c r="J864" i="59" s="1"/>
  <c r="N708" i="59"/>
  <c r="N864" i="59" s="1"/>
  <c r="I708" i="59"/>
  <c r="I864" i="59" s="1"/>
  <c r="M708" i="59"/>
  <c r="M864" i="59" s="1"/>
  <c r="G708" i="59"/>
  <c r="G864" i="59" s="1"/>
  <c r="O708" i="59"/>
  <c r="O864" i="59" s="1"/>
  <c r="K708" i="59"/>
  <c r="K864" i="59" s="1"/>
  <c r="O187" i="53"/>
  <c r="K225" i="53" s="1"/>
  <c r="K444" i="59" s="1"/>
  <c r="K600" i="59" s="1"/>
  <c r="J761" i="67"/>
  <c r="F761" i="67" s="1"/>
  <c r="J208" i="67"/>
  <c r="J247" i="67" s="1"/>
  <c r="J676" i="59"/>
  <c r="J832" i="59" s="1"/>
  <c r="O298" i="53"/>
  <c r="K336" i="53" s="1"/>
  <c r="K676" i="59" s="1"/>
  <c r="K832" i="59" s="1"/>
  <c r="J801" i="67"/>
  <c r="F801" i="67" s="1"/>
  <c r="J839" i="67"/>
  <c r="F839" i="67" s="1"/>
  <c r="O407" i="53"/>
  <c r="K445" i="53" s="1"/>
  <c r="K906" i="59" s="1"/>
  <c r="K1062" i="59" s="1"/>
  <c r="J757" i="67"/>
  <c r="F757" i="67" s="1"/>
  <c r="O183" i="53"/>
  <c r="K221" i="53" s="1"/>
  <c r="K440" i="59" s="1"/>
  <c r="K596" i="59" s="1"/>
  <c r="N291" i="67"/>
  <c r="N330" i="67" s="1"/>
  <c r="R913" i="59"/>
  <c r="R1069" i="59" s="1"/>
  <c r="P552" i="67"/>
  <c r="P590" i="67" s="1"/>
  <c r="F590" i="67" s="1"/>
  <c r="L309" i="53"/>
  <c r="J482" i="54"/>
  <c r="O340" i="53"/>
  <c r="Q340" i="53"/>
  <c r="P340" i="53"/>
  <c r="R660" i="59"/>
  <c r="R816" i="59" s="1"/>
  <c r="N192" i="67"/>
  <c r="N231" i="67" s="1"/>
  <c r="S407" i="53"/>
  <c r="M906" i="59" s="1"/>
  <c r="M1062" i="59" s="1"/>
  <c r="H621" i="54"/>
  <c r="F621" i="54" s="1"/>
  <c r="F503" i="54" s="1"/>
  <c r="D182" i="49" s="1"/>
  <c r="K182" i="49" s="1"/>
  <c r="P400" i="53"/>
  <c r="S438" i="53" s="1"/>
  <c r="S899" i="59" s="1"/>
  <c r="S1055" i="59" s="1"/>
  <c r="K832" i="67"/>
  <c r="P293" i="53"/>
  <c r="S331" i="53" s="1"/>
  <c r="S671" i="59" s="1"/>
  <c r="S827" i="59" s="1"/>
  <c r="K796" i="67"/>
  <c r="J210" i="67"/>
  <c r="J249" i="67" s="1"/>
  <c r="J678" i="59"/>
  <c r="J834" i="59" s="1"/>
  <c r="S297" i="53"/>
  <c r="M675" i="59" s="1"/>
  <c r="M831" i="59" s="1"/>
  <c r="H470" i="54"/>
  <c r="F470" i="54" s="1"/>
  <c r="F352" i="54" s="1"/>
  <c r="D147" i="49" s="1"/>
  <c r="K845" i="67"/>
  <c r="P413" i="53"/>
  <c r="S451" i="53" s="1"/>
  <c r="S912" i="59" s="1"/>
  <c r="S1068" i="59" s="1"/>
  <c r="P309" i="53"/>
  <c r="S347" i="53" s="1"/>
  <c r="S687" i="59" s="1"/>
  <c r="S843" i="59" s="1"/>
  <c r="K812" i="67"/>
  <c r="Q219" i="53"/>
  <c r="O219" i="53"/>
  <c r="P219" i="53"/>
  <c r="R898" i="59"/>
  <c r="R1054" i="59" s="1"/>
  <c r="N276" i="67"/>
  <c r="N315" i="67" s="1"/>
  <c r="H627" i="54"/>
  <c r="S413" i="53"/>
  <c r="M912" i="59" s="1"/>
  <c r="M1068" i="59" s="1"/>
  <c r="I464" i="53"/>
  <c r="G464" i="53"/>
  <c r="H464" i="53"/>
  <c r="J952" i="59"/>
  <c r="J1108" i="59" s="1"/>
  <c r="I952" i="59"/>
  <c r="I1108" i="59" s="1"/>
  <c r="M952" i="59"/>
  <c r="M1108" i="59" s="1"/>
  <c r="N952" i="59"/>
  <c r="N1108" i="59" s="1"/>
  <c r="G952" i="59"/>
  <c r="G1108" i="59" s="1"/>
  <c r="O952" i="59"/>
  <c r="O1108" i="59" s="1"/>
  <c r="L952" i="59"/>
  <c r="L1108" i="59" s="1"/>
  <c r="H952" i="59"/>
  <c r="H1108" i="59" s="1"/>
  <c r="K952" i="59"/>
  <c r="K1108" i="59" s="1"/>
  <c r="N719" i="59"/>
  <c r="N875" i="59" s="1"/>
  <c r="M719" i="59"/>
  <c r="M875" i="59" s="1"/>
  <c r="L719" i="59"/>
  <c r="L875" i="59" s="1"/>
  <c r="J719" i="59"/>
  <c r="J875" i="59" s="1"/>
  <c r="O719" i="59"/>
  <c r="O875" i="59" s="1"/>
  <c r="G719" i="59"/>
  <c r="G875" i="59" s="1"/>
  <c r="I719" i="59"/>
  <c r="I875" i="59" s="1"/>
  <c r="H719" i="59"/>
  <c r="H875" i="59" s="1"/>
  <c r="K719" i="59"/>
  <c r="K875" i="59" s="1"/>
  <c r="J613" i="54"/>
  <c r="P607" i="67"/>
  <c r="P645" i="67" s="1"/>
  <c r="F645" i="67" s="1"/>
  <c r="L399" i="53"/>
  <c r="H319" i="54"/>
  <c r="S187" i="53"/>
  <c r="M444" i="59" s="1"/>
  <c r="M600" i="59" s="1"/>
  <c r="N127" i="67"/>
  <c r="N166" i="67" s="1"/>
  <c r="R441" i="59"/>
  <c r="R597" i="59" s="1"/>
  <c r="O310" i="53"/>
  <c r="K348" i="53" s="1"/>
  <c r="K688" i="59" s="1"/>
  <c r="K844" i="59" s="1"/>
  <c r="J813" i="67"/>
  <c r="P635" i="67"/>
  <c r="P673" i="67" s="1"/>
  <c r="F673" i="67" s="1"/>
  <c r="J641" i="54"/>
  <c r="L427" i="53"/>
  <c r="J427" i="59"/>
  <c r="J583" i="59" s="1"/>
  <c r="J113" i="67"/>
  <c r="J152" i="67" s="1"/>
  <c r="H935" i="59"/>
  <c r="H1091" i="59" s="1"/>
  <c r="M935" i="59"/>
  <c r="M1091" i="59" s="1"/>
  <c r="N935" i="59"/>
  <c r="N1091" i="59" s="1"/>
  <c r="L935" i="59"/>
  <c r="L1091" i="59" s="1"/>
  <c r="I935" i="59"/>
  <c r="I1091" i="59" s="1"/>
  <c r="O935" i="59"/>
  <c r="O1091" i="59" s="1"/>
  <c r="K935" i="59"/>
  <c r="K1091" i="59" s="1"/>
  <c r="J935" i="59"/>
  <c r="J1091" i="59" s="1"/>
  <c r="G935" i="59"/>
  <c r="G1091" i="59" s="1"/>
  <c r="N305" i="67"/>
  <c r="N344" i="67" s="1"/>
  <c r="R927" i="59"/>
  <c r="R1083" i="59" s="1"/>
  <c r="L944" i="59"/>
  <c r="L1100" i="59" s="1"/>
  <c r="K944" i="59"/>
  <c r="K1100" i="59" s="1"/>
  <c r="H944" i="59"/>
  <c r="H1100" i="59" s="1"/>
  <c r="G944" i="59"/>
  <c r="G1100" i="59" s="1"/>
  <c r="O944" i="59"/>
  <c r="O1100" i="59" s="1"/>
  <c r="J944" i="59"/>
  <c r="J1100" i="59" s="1"/>
  <c r="I944" i="59"/>
  <c r="I1100" i="59" s="1"/>
  <c r="N944" i="59"/>
  <c r="N1100" i="59" s="1"/>
  <c r="M944" i="59"/>
  <c r="M1100" i="59" s="1"/>
  <c r="O329" i="53"/>
  <c r="Q329" i="53"/>
  <c r="P329" i="53"/>
  <c r="O280" i="53"/>
  <c r="K318" i="53" s="1"/>
  <c r="K658" i="59" s="1"/>
  <c r="K814" i="59" s="1"/>
  <c r="J783" i="67"/>
  <c r="F783" i="67" s="1"/>
  <c r="R926" i="59"/>
  <c r="R1082" i="59" s="1"/>
  <c r="N304" i="67"/>
  <c r="N343" i="67" s="1"/>
  <c r="Q319" i="53"/>
  <c r="O319" i="53"/>
  <c r="P319" i="53"/>
  <c r="O405" i="53"/>
  <c r="K443" i="53" s="1"/>
  <c r="K904" i="59" s="1"/>
  <c r="K1060" i="59" s="1"/>
  <c r="J837" i="67"/>
  <c r="F837" i="67" s="1"/>
  <c r="J303" i="54"/>
  <c r="P449" i="67"/>
  <c r="P487" i="67" s="1"/>
  <c r="F487" i="67" s="1"/>
  <c r="L171" i="53"/>
  <c r="O449" i="53"/>
  <c r="Q449" i="53"/>
  <c r="P449" i="53"/>
  <c r="I699" i="59"/>
  <c r="I855" i="59" s="1"/>
  <c r="K699" i="59"/>
  <c r="K855" i="59" s="1"/>
  <c r="H699" i="59"/>
  <c r="H855" i="59" s="1"/>
  <c r="L699" i="59"/>
  <c r="L855" i="59" s="1"/>
  <c r="M699" i="59"/>
  <c r="M855" i="59" s="1"/>
  <c r="J699" i="59"/>
  <c r="J855" i="59" s="1"/>
  <c r="O699" i="59"/>
  <c r="O855" i="59" s="1"/>
  <c r="N699" i="59"/>
  <c r="N855" i="59" s="1"/>
  <c r="G699" i="59"/>
  <c r="G855" i="59" s="1"/>
  <c r="O459" i="53"/>
  <c r="P459" i="53"/>
  <c r="Q459" i="53"/>
  <c r="Q434" i="53"/>
  <c r="P434" i="53"/>
  <c r="O434" i="53"/>
  <c r="J461" i="54"/>
  <c r="P531" i="67"/>
  <c r="P569" i="67" s="1"/>
  <c r="F569" i="67" s="1"/>
  <c r="L288" i="53"/>
  <c r="O467" i="53"/>
  <c r="Q467" i="53"/>
  <c r="P467" i="53"/>
  <c r="P617" i="67"/>
  <c r="P655" i="67" s="1"/>
  <c r="F655" i="67" s="1"/>
  <c r="J623" i="54"/>
  <c r="L409" i="53"/>
  <c r="G228" i="53"/>
  <c r="H228" i="53"/>
  <c r="I228" i="53"/>
  <c r="N275" i="67"/>
  <c r="N314" i="67" s="1"/>
  <c r="R897" i="59"/>
  <c r="R1053" i="59" s="1"/>
  <c r="O401" i="53"/>
  <c r="K439" i="53" s="1"/>
  <c r="K900" i="59" s="1"/>
  <c r="K1056" i="59" s="1"/>
  <c r="J833" i="67"/>
  <c r="F833" i="67" s="1"/>
  <c r="I956" i="59"/>
  <c r="I1112" i="59" s="1"/>
  <c r="G956" i="59"/>
  <c r="G1112" i="59" s="1"/>
  <c r="O956" i="59"/>
  <c r="O1112" i="59" s="1"/>
  <c r="M956" i="59"/>
  <c r="M1112" i="59" s="1"/>
  <c r="J956" i="59"/>
  <c r="J1112" i="59" s="1"/>
  <c r="K956" i="59"/>
  <c r="K1112" i="59" s="1"/>
  <c r="H956" i="59"/>
  <c r="H1112" i="59" s="1"/>
  <c r="N956" i="59"/>
  <c r="N1112" i="59" s="1"/>
  <c r="L956" i="59"/>
  <c r="L1112" i="59" s="1"/>
  <c r="O714" i="59"/>
  <c r="O870" i="59" s="1"/>
  <c r="M714" i="59"/>
  <c r="M870" i="59" s="1"/>
  <c r="J714" i="59"/>
  <c r="J870" i="59" s="1"/>
  <c r="L714" i="59"/>
  <c r="L870" i="59" s="1"/>
  <c r="N714" i="59"/>
  <c r="N870" i="59" s="1"/>
  <c r="K714" i="59"/>
  <c r="K870" i="59" s="1"/>
  <c r="G714" i="59"/>
  <c r="G870" i="59" s="1"/>
  <c r="I714" i="59"/>
  <c r="I870" i="59" s="1"/>
  <c r="H714" i="59"/>
  <c r="H870" i="59" s="1"/>
  <c r="H643" i="54"/>
  <c r="S429" i="53"/>
  <c r="M928" i="59" s="1"/>
  <c r="M1084" i="59" s="1"/>
  <c r="M396" i="67"/>
  <c r="M357" i="67"/>
  <c r="M395" i="67" s="1"/>
  <c r="H603" i="67"/>
  <c r="H641" i="67" s="1"/>
  <c r="H642" i="67"/>
  <c r="J307" i="67"/>
  <c r="J346" i="67" s="1"/>
  <c r="J929" i="59"/>
  <c r="J1085" i="59" s="1"/>
  <c r="O420" i="53"/>
  <c r="K458" i="53" s="1"/>
  <c r="K919" i="59" s="1"/>
  <c r="K1075" i="59" s="1"/>
  <c r="J852" i="67"/>
  <c r="F852" i="67" s="1"/>
  <c r="K804" i="67"/>
  <c r="P301" i="53"/>
  <c r="S339" i="53" s="1"/>
  <c r="S679" i="59" s="1"/>
  <c r="S835" i="59" s="1"/>
  <c r="J295" i="67"/>
  <c r="J334" i="67" s="1"/>
  <c r="J917" i="59"/>
  <c r="J1073" i="59" s="1"/>
  <c r="G459" i="53"/>
  <c r="I459" i="53"/>
  <c r="H459" i="53"/>
  <c r="N123" i="67"/>
  <c r="N162" i="67" s="1"/>
  <c r="R437" i="59"/>
  <c r="R593" i="59" s="1"/>
  <c r="K803" i="67"/>
  <c r="P300" i="53"/>
  <c r="S338" i="53" s="1"/>
  <c r="S678" i="59" s="1"/>
  <c r="S834" i="59" s="1"/>
  <c r="S430" i="53"/>
  <c r="M929" i="59" s="1"/>
  <c r="M1085" i="59" s="1"/>
  <c r="H644" i="54"/>
  <c r="P631" i="67"/>
  <c r="P669" i="67" s="1"/>
  <c r="F669" i="67" s="1"/>
  <c r="L423" i="53"/>
  <c r="J637" i="54"/>
  <c r="R916" i="59"/>
  <c r="R1072" i="59" s="1"/>
  <c r="N294" i="67"/>
  <c r="N333" i="67" s="1"/>
  <c r="J610" i="54"/>
  <c r="P604" i="67"/>
  <c r="L396" i="53"/>
  <c r="J927" i="59"/>
  <c r="J1083" i="59" s="1"/>
  <c r="J305" i="67"/>
  <c r="J344" i="67" s="1"/>
  <c r="K853" i="67"/>
  <c r="P421" i="53"/>
  <c r="S459" i="53" s="1"/>
  <c r="S920" i="59" s="1"/>
  <c r="S1076" i="59" s="1"/>
  <c r="J722" i="59"/>
  <c r="J878" i="59" s="1"/>
  <c r="H722" i="59"/>
  <c r="H878" i="59" s="1"/>
  <c r="I722" i="59"/>
  <c r="I878" i="59" s="1"/>
  <c r="K722" i="59"/>
  <c r="K878" i="59" s="1"/>
  <c r="M722" i="59"/>
  <c r="M878" i="59" s="1"/>
  <c r="O722" i="59"/>
  <c r="O878" i="59" s="1"/>
  <c r="L722" i="59"/>
  <c r="L878" i="59" s="1"/>
  <c r="G722" i="59"/>
  <c r="G878" i="59" s="1"/>
  <c r="N722" i="59"/>
  <c r="N878" i="59" s="1"/>
  <c r="S397" i="53"/>
  <c r="M896" i="59" s="1"/>
  <c r="M1052" i="59" s="1"/>
  <c r="H611" i="54"/>
  <c r="F611" i="54" s="1"/>
  <c r="F493" i="54" s="1"/>
  <c r="D172" i="49" s="1"/>
  <c r="K172" i="49" s="1"/>
  <c r="R678" i="59"/>
  <c r="R834" i="59" s="1"/>
  <c r="N210" i="67"/>
  <c r="N249" i="67" s="1"/>
  <c r="H467" i="53"/>
  <c r="I467" i="53"/>
  <c r="G467" i="53"/>
  <c r="S418" i="53"/>
  <c r="M917" i="59" s="1"/>
  <c r="M1073" i="59" s="1"/>
  <c r="H632" i="54"/>
  <c r="R689" i="59"/>
  <c r="R845" i="59" s="1"/>
  <c r="N221" i="67"/>
  <c r="N260" i="67" s="1"/>
  <c r="J204" i="67"/>
  <c r="J243" i="67" s="1"/>
  <c r="J672" i="59"/>
  <c r="J828" i="59" s="1"/>
  <c r="F459" i="54" l="1"/>
  <c r="F341" i="54" s="1"/>
  <c r="D136" i="49" s="1"/>
  <c r="F468" i="54"/>
  <c r="F350" i="54" s="1"/>
  <c r="D145" i="49" s="1"/>
  <c r="F160" i="54"/>
  <c r="F42" i="54" s="1"/>
  <c r="D69" i="49" s="1"/>
  <c r="F313" i="54"/>
  <c r="F195" i="54" s="1"/>
  <c r="D106" i="49" s="1"/>
  <c r="F806" i="67"/>
  <c r="F319" i="54"/>
  <c r="F201" i="54" s="1"/>
  <c r="D112" i="49" s="1"/>
  <c r="K112" i="49" s="1"/>
  <c r="F838" i="67"/>
  <c r="F723" i="67"/>
  <c r="F785" i="67"/>
  <c r="F750" i="67"/>
  <c r="F759" i="67"/>
  <c r="F854" i="67"/>
  <c r="F718" i="67"/>
  <c r="F296" i="54"/>
  <c r="F178" i="54" s="1"/>
  <c r="D89" i="49" s="1"/>
  <c r="F163" i="54"/>
  <c r="F45" i="54" s="1"/>
  <c r="D72" i="49" s="1"/>
  <c r="O115" i="49"/>
  <c r="F473" i="54"/>
  <c r="F355" i="54" s="1"/>
  <c r="F836" i="67"/>
  <c r="F793" i="67"/>
  <c r="F788" i="67"/>
  <c r="F813" i="67"/>
  <c r="F856" i="67"/>
  <c r="F766" i="67"/>
  <c r="F834" i="67"/>
  <c r="F484" i="54"/>
  <c r="F366" i="54" s="1"/>
  <c r="D161" i="49" s="1"/>
  <c r="K161" i="49" s="1"/>
  <c r="F324" i="54"/>
  <c r="F206" i="54" s="1"/>
  <c r="D117" i="49" s="1"/>
  <c r="K117" i="49" s="1"/>
  <c r="F308" i="54"/>
  <c r="F190" i="54" s="1"/>
  <c r="D101" i="49" s="1"/>
  <c r="F465" i="54"/>
  <c r="F347" i="54" s="1"/>
  <c r="D142" i="49" s="1"/>
  <c r="K142" i="49" s="1"/>
  <c r="F147" i="54"/>
  <c r="F29" i="54" s="1"/>
  <c r="D56" i="49" s="1"/>
  <c r="F321" i="54"/>
  <c r="F203" i="54" s="1"/>
  <c r="D114" i="49" s="1"/>
  <c r="K114" i="49" s="1"/>
  <c r="F466" i="54"/>
  <c r="F348" i="54" s="1"/>
  <c r="D143" i="49" s="1"/>
  <c r="K143" i="49" s="1"/>
  <c r="F474" i="54"/>
  <c r="F356" i="54" s="1"/>
  <c r="D151" i="49" s="1"/>
  <c r="K151" i="49" s="1"/>
  <c r="F753" i="67"/>
  <c r="F857" i="67"/>
  <c r="F829" i="67"/>
  <c r="F167" i="54"/>
  <c r="F49" i="54" s="1"/>
  <c r="D76" i="49" s="1"/>
  <c r="F328" i="54"/>
  <c r="F210" i="54" s="1"/>
  <c r="D121" i="49" s="1"/>
  <c r="K121" i="49" s="1"/>
  <c r="F314" i="54"/>
  <c r="F196" i="54" s="1"/>
  <c r="D107" i="49" s="1"/>
  <c r="K107" i="49" s="1"/>
  <c r="F316" i="54"/>
  <c r="F198" i="54" s="1"/>
  <c r="D109" i="49" s="1"/>
  <c r="K109" i="49" s="1"/>
  <c r="F644" i="54"/>
  <c r="F526" i="54" s="1"/>
  <c r="D205" i="49" s="1"/>
  <c r="K205" i="49" s="1"/>
  <c r="F301" i="54"/>
  <c r="F183" i="54" s="1"/>
  <c r="D94" i="49" s="1"/>
  <c r="F632" i="54"/>
  <c r="F514" i="54" s="1"/>
  <c r="D193" i="49" s="1"/>
  <c r="K193" i="49" s="1"/>
  <c r="F460" i="54"/>
  <c r="F342" i="54" s="1"/>
  <c r="D137" i="49" s="1"/>
  <c r="K137" i="49" s="1"/>
  <c r="F326" i="54"/>
  <c r="F208" i="54" s="1"/>
  <c r="D119" i="49" s="1"/>
  <c r="K119" i="49" s="1"/>
  <c r="F485" i="54"/>
  <c r="F367" i="54" s="1"/>
  <c r="D162" i="49" s="1"/>
  <c r="K162" i="49" s="1"/>
  <c r="F478" i="54"/>
  <c r="F360" i="54" s="1"/>
  <c r="D155" i="49" s="1"/>
  <c r="F464" i="54"/>
  <c r="F346" i="54" s="1"/>
  <c r="D141" i="49" s="1"/>
  <c r="K141" i="49" s="1"/>
  <c r="F311" i="54"/>
  <c r="F193" i="54" s="1"/>
  <c r="D104" i="49" s="1"/>
  <c r="F479" i="54"/>
  <c r="F361" i="54" s="1"/>
  <c r="D156" i="49" s="1"/>
  <c r="K156" i="49" s="1"/>
  <c r="F137" i="54"/>
  <c r="F19" i="54" s="1"/>
  <c r="D46" i="49" s="1"/>
  <c r="F630" i="54"/>
  <c r="F512" i="54" s="1"/>
  <c r="D191" i="49" s="1"/>
  <c r="K191" i="49" s="1"/>
  <c r="F327" i="54"/>
  <c r="F209" i="54" s="1"/>
  <c r="D120" i="49" s="1"/>
  <c r="K120" i="49" s="1"/>
  <c r="F142" i="54"/>
  <c r="F24" i="54" s="1"/>
  <c r="D51" i="49" s="1"/>
  <c r="F481" i="54"/>
  <c r="F363" i="54" s="1"/>
  <c r="D158" i="49" s="1"/>
  <c r="F148" i="54"/>
  <c r="F30" i="54" s="1"/>
  <c r="D57" i="49" s="1"/>
  <c r="F1094" i="59"/>
  <c r="F643" i="54"/>
  <c r="F525" i="54" s="1"/>
  <c r="D204" i="49" s="1"/>
  <c r="K204" i="49" s="1"/>
  <c r="F144" i="54"/>
  <c r="F26" i="54" s="1"/>
  <c r="D53" i="49" s="1"/>
  <c r="F302" i="54"/>
  <c r="F184" i="54" s="1"/>
  <c r="D95" i="49" s="1"/>
  <c r="F1098" i="59"/>
  <c r="F874" i="59"/>
  <c r="F638" i="59"/>
  <c r="F612" i="54"/>
  <c r="F494" i="54" s="1"/>
  <c r="D173" i="49" s="1"/>
  <c r="K173" i="49" s="1"/>
  <c r="F622" i="54"/>
  <c r="F504" i="54" s="1"/>
  <c r="D183" i="49" s="1"/>
  <c r="K183" i="49" s="1"/>
  <c r="F298" i="54"/>
  <c r="F180" i="54" s="1"/>
  <c r="D91" i="49" s="1"/>
  <c r="F614" i="54"/>
  <c r="F496" i="54" s="1"/>
  <c r="D175" i="49" s="1"/>
  <c r="K175" i="49" s="1"/>
  <c r="F305" i="54"/>
  <c r="F187" i="54" s="1"/>
  <c r="D98" i="49" s="1"/>
  <c r="F635" i="59"/>
  <c r="F1095" i="59"/>
  <c r="F632" i="59"/>
  <c r="F880" i="59"/>
  <c r="F629" i="54"/>
  <c r="F511" i="54" s="1"/>
  <c r="D190" i="49" s="1"/>
  <c r="K190" i="49" s="1"/>
  <c r="F864" i="59"/>
  <c r="F162" i="54"/>
  <c r="F44" i="54" s="1"/>
  <c r="D71" i="49" s="1"/>
  <c r="F410" i="59"/>
  <c r="F1091" i="59"/>
  <c r="F883" i="59"/>
  <c r="F741" i="67"/>
  <c r="F691" i="67"/>
  <c r="F737" i="67"/>
  <c r="F710" i="67"/>
  <c r="F694" i="67"/>
  <c r="F695" i="67"/>
  <c r="F740" i="67"/>
  <c r="F745" i="67"/>
  <c r="F713" i="67"/>
  <c r="F703" i="67"/>
  <c r="F738" i="67"/>
  <c r="F708" i="67"/>
  <c r="F743" i="67"/>
  <c r="F748" i="67"/>
  <c r="F389" i="59"/>
  <c r="F397" i="59"/>
  <c r="F377" i="59"/>
  <c r="F618" i="59"/>
  <c r="P928" i="59"/>
  <c r="P1084" i="59" s="1"/>
  <c r="L306" i="67"/>
  <c r="L345" i="67" s="1"/>
  <c r="M273" i="67"/>
  <c r="Q895" i="59"/>
  <c r="H668" i="59"/>
  <c r="H824" i="59" s="1"/>
  <c r="H200" i="67"/>
  <c r="H239" i="67" s="1"/>
  <c r="O665" i="59"/>
  <c r="O821" i="59" s="1"/>
  <c r="N325" i="53"/>
  <c r="F636" i="59"/>
  <c r="O436" i="59"/>
  <c r="O592" i="59" s="1"/>
  <c r="N217" i="53"/>
  <c r="L55" i="67"/>
  <c r="L94" i="67" s="1"/>
  <c r="P215" i="59"/>
  <c r="P371" i="59" s="1"/>
  <c r="H105" i="67"/>
  <c r="H419" i="59"/>
  <c r="N100" i="53"/>
  <c r="O198" i="59"/>
  <c r="O354" i="59" s="1"/>
  <c r="N102" i="53"/>
  <c r="O200" i="59"/>
  <c r="O356" i="59" s="1"/>
  <c r="I688" i="59"/>
  <c r="I844" i="59" s="1"/>
  <c r="I220" i="67"/>
  <c r="I259" i="67" s="1"/>
  <c r="N323" i="53"/>
  <c r="O663" i="59"/>
  <c r="O819" i="59" s="1"/>
  <c r="I276" i="67"/>
  <c r="I315" i="67" s="1"/>
  <c r="I898" i="59"/>
  <c r="I1054" i="59" s="1"/>
  <c r="K149" i="49"/>
  <c r="P521" i="67"/>
  <c r="P559" i="67" s="1"/>
  <c r="F559" i="67" s="1"/>
  <c r="P560" i="67"/>
  <c r="F560" i="67" s="1"/>
  <c r="N448" i="53"/>
  <c r="O909" i="59"/>
  <c r="O1065" i="59" s="1"/>
  <c r="N343" i="53"/>
  <c r="O683" i="59"/>
  <c r="O839" i="59" s="1"/>
  <c r="F885" i="59"/>
  <c r="F1110" i="59"/>
  <c r="H211" i="67"/>
  <c r="H250" i="67" s="1"/>
  <c r="H679" i="59"/>
  <c r="H835" i="59" s="1"/>
  <c r="F623" i="54"/>
  <c r="F505" i="54" s="1"/>
  <c r="D184" i="49" s="1"/>
  <c r="K184" i="49" s="1"/>
  <c r="F862" i="59"/>
  <c r="H683" i="59"/>
  <c r="H839" i="59" s="1"/>
  <c r="H215" i="67"/>
  <c r="H254" i="67" s="1"/>
  <c r="F646" i="59"/>
  <c r="L127" i="67"/>
  <c r="L166" i="67" s="1"/>
  <c r="P441" i="59"/>
  <c r="P597" i="59" s="1"/>
  <c r="F620" i="59"/>
  <c r="F382" i="59"/>
  <c r="F384" i="59"/>
  <c r="Q184" i="59"/>
  <c r="Q340" i="59" s="1"/>
  <c r="M24" i="67"/>
  <c r="M63" i="67" s="1"/>
  <c r="I914" i="59"/>
  <c r="I1070" i="59" s="1"/>
  <c r="I292" i="67"/>
  <c r="I331" i="67" s="1"/>
  <c r="H299" i="67"/>
  <c r="H338" i="67" s="1"/>
  <c r="H921" i="59"/>
  <c r="H1077" i="59" s="1"/>
  <c r="I922" i="59"/>
  <c r="I1078" i="59" s="1"/>
  <c r="I300" i="67"/>
  <c r="I339" i="67" s="1"/>
  <c r="I686" i="59"/>
  <c r="I842" i="59" s="1"/>
  <c r="I218" i="67"/>
  <c r="I257" i="67" s="1"/>
  <c r="I662" i="59"/>
  <c r="I818" i="59" s="1"/>
  <c r="I194" i="67"/>
  <c r="I233" i="67" s="1"/>
  <c r="F648" i="59"/>
  <c r="F762" i="67"/>
  <c r="H130" i="67"/>
  <c r="H169" i="67" s="1"/>
  <c r="H444" i="59"/>
  <c r="H600" i="59" s="1"/>
  <c r="F858" i="59"/>
  <c r="N228" i="53"/>
  <c r="O447" i="59"/>
  <c r="O603" i="59" s="1"/>
  <c r="O453" i="59"/>
  <c r="O609" i="59" s="1"/>
  <c r="N234" i="53"/>
  <c r="L278" i="67"/>
  <c r="L317" i="67" s="1"/>
  <c r="P900" i="59"/>
  <c r="P1056" i="59" s="1"/>
  <c r="O450" i="59"/>
  <c r="O606" i="59" s="1"/>
  <c r="N231" i="53"/>
  <c r="K575" i="59"/>
  <c r="K574" i="59" s="1"/>
  <c r="K418" i="59"/>
  <c r="F394" i="59"/>
  <c r="Q424" i="59"/>
  <c r="Q580" i="59" s="1"/>
  <c r="M110" i="67"/>
  <c r="M149" i="67" s="1"/>
  <c r="F699" i="67"/>
  <c r="N20" i="67"/>
  <c r="N59" i="67" s="1"/>
  <c r="N60" i="67"/>
  <c r="M294" i="67"/>
  <c r="M333" i="67" s="1"/>
  <c r="Q916" i="59"/>
  <c r="Q1072" i="59" s="1"/>
  <c r="I305" i="67"/>
  <c r="I344" i="67" s="1"/>
  <c r="I927" i="59"/>
  <c r="I1083" i="59" s="1"/>
  <c r="H919" i="59"/>
  <c r="H1075" i="59" s="1"/>
  <c r="H297" i="67"/>
  <c r="H336" i="67" s="1"/>
  <c r="F617" i="54"/>
  <c r="F499" i="54" s="1"/>
  <c r="D178" i="49" s="1"/>
  <c r="K178" i="49" s="1"/>
  <c r="P199" i="59"/>
  <c r="P355" i="59" s="1"/>
  <c r="L39" i="67"/>
  <c r="L78" i="67" s="1"/>
  <c r="H193" i="67"/>
  <c r="H232" i="67" s="1"/>
  <c r="H661" i="59"/>
  <c r="H817" i="59" s="1"/>
  <c r="F1102" i="59"/>
  <c r="F832" i="67"/>
  <c r="I899" i="59"/>
  <c r="I1055" i="59" s="1"/>
  <c r="I277" i="67"/>
  <c r="I316" i="67" s="1"/>
  <c r="L213" i="67"/>
  <c r="L252" i="67" s="1"/>
  <c r="P681" i="59"/>
  <c r="P837" i="59" s="1"/>
  <c r="L36" i="67"/>
  <c r="L75" i="67" s="1"/>
  <c r="P196" i="59"/>
  <c r="P352" i="59" s="1"/>
  <c r="F98" i="53"/>
  <c r="G196" i="59"/>
  <c r="G352" i="59" s="1"/>
  <c r="N91" i="53"/>
  <c r="O189" i="59"/>
  <c r="O345" i="59" s="1"/>
  <c r="S337" i="59"/>
  <c r="S336" i="59" s="1"/>
  <c r="S180" i="59"/>
  <c r="F704" i="67"/>
  <c r="I47" i="67"/>
  <c r="I86" i="67" s="1"/>
  <c r="I207" i="59"/>
  <c r="I363" i="59" s="1"/>
  <c r="Q194" i="59"/>
  <c r="Q350" i="59" s="1"/>
  <c r="M34" i="67"/>
  <c r="M73" i="67" s="1"/>
  <c r="O661" i="59"/>
  <c r="O817" i="59" s="1"/>
  <c r="N321" i="53"/>
  <c r="Q924" i="59"/>
  <c r="Q1080" i="59" s="1"/>
  <c r="M302" i="67"/>
  <c r="M341" i="67" s="1"/>
  <c r="G669" i="59"/>
  <c r="G825" i="59" s="1"/>
  <c r="F329" i="53"/>
  <c r="H1090" i="59"/>
  <c r="H1089" i="59" s="1"/>
  <c r="H933" i="59"/>
  <c r="O1090" i="59"/>
  <c r="O1089" i="59" s="1"/>
  <c r="O933" i="59"/>
  <c r="F325" i="53"/>
  <c r="G665" i="59"/>
  <c r="G821" i="59" s="1"/>
  <c r="F886" i="59"/>
  <c r="F482" i="54"/>
  <c r="F364" i="54" s="1"/>
  <c r="D159" i="49" s="1"/>
  <c r="K827" i="67"/>
  <c r="F230" i="53"/>
  <c r="G449" i="59"/>
  <c r="G605" i="59" s="1"/>
  <c r="L219" i="67"/>
  <c r="L258" i="67" s="1"/>
  <c r="P687" i="59"/>
  <c r="P843" i="59" s="1"/>
  <c r="H659" i="59"/>
  <c r="H815" i="59" s="1"/>
  <c r="H191" i="67"/>
  <c r="H230" i="67" s="1"/>
  <c r="N324" i="53"/>
  <c r="O664" i="59"/>
  <c r="O820" i="59" s="1"/>
  <c r="G443" i="59"/>
  <c r="G599" i="59" s="1"/>
  <c r="F224" i="53"/>
  <c r="I107" i="67"/>
  <c r="I146" i="67" s="1"/>
  <c r="I421" i="59"/>
  <c r="I577" i="59" s="1"/>
  <c r="Q422" i="59"/>
  <c r="Q578" i="59" s="1"/>
  <c r="M108" i="67"/>
  <c r="M147" i="67" s="1"/>
  <c r="H438" i="59"/>
  <c r="H594" i="59" s="1"/>
  <c r="H124" i="67"/>
  <c r="H163" i="67" s="1"/>
  <c r="F152" i="54"/>
  <c r="F34" i="54" s="1"/>
  <c r="D61" i="49" s="1"/>
  <c r="Q185" i="59"/>
  <c r="Q341" i="59" s="1"/>
  <c r="M25" i="67"/>
  <c r="M64" i="67" s="1"/>
  <c r="M30" i="67"/>
  <c r="M69" i="67" s="1"/>
  <c r="Q190" i="59"/>
  <c r="Q346" i="59" s="1"/>
  <c r="F146" i="54"/>
  <c r="F28" i="54" s="1"/>
  <c r="D55" i="49" s="1"/>
  <c r="M337" i="59"/>
  <c r="M336" i="59" s="1"/>
  <c r="M180" i="59"/>
  <c r="H212" i="59"/>
  <c r="H368" i="59" s="1"/>
  <c r="H52" i="67"/>
  <c r="H91" i="67" s="1"/>
  <c r="L614" i="59"/>
  <c r="L613" i="59" s="1"/>
  <c r="L457" i="59"/>
  <c r="M217" i="67"/>
  <c r="M256" i="67" s="1"/>
  <c r="Q685" i="59"/>
  <c r="Q841" i="59" s="1"/>
  <c r="Q902" i="59"/>
  <c r="Q1058" i="59" s="1"/>
  <c r="M280" i="67"/>
  <c r="M319" i="67" s="1"/>
  <c r="M203" i="67"/>
  <c r="M242" i="67" s="1"/>
  <c r="Q671" i="59"/>
  <c r="Q827" i="59" s="1"/>
  <c r="I205" i="67"/>
  <c r="I244" i="67" s="1"/>
  <c r="I673" i="59"/>
  <c r="I829" i="59" s="1"/>
  <c r="N437" i="53"/>
  <c r="O898" i="59"/>
  <c r="O1054" i="59" s="1"/>
  <c r="G852" i="59"/>
  <c r="G695" i="59"/>
  <c r="F477" i="54"/>
  <c r="F359" i="54" s="1"/>
  <c r="D154" i="49" s="1"/>
  <c r="F631" i="59"/>
  <c r="H275" i="67"/>
  <c r="H314" i="67" s="1"/>
  <c r="H897" i="59"/>
  <c r="H1053" i="59" s="1"/>
  <c r="G453" i="59"/>
  <c r="G609" i="59" s="1"/>
  <c r="F234" i="53"/>
  <c r="O434" i="59"/>
  <c r="O590" i="59" s="1"/>
  <c r="N215" i="53"/>
  <c r="L113" i="67"/>
  <c r="L152" i="67" s="1"/>
  <c r="P427" i="59"/>
  <c r="P583" i="59" s="1"/>
  <c r="I115" i="67"/>
  <c r="I154" i="67" s="1"/>
  <c r="I429" i="59"/>
  <c r="I585" i="59" s="1"/>
  <c r="F629" i="59"/>
  <c r="Q209" i="59"/>
  <c r="Q365" i="59" s="1"/>
  <c r="M49" i="67"/>
  <c r="M88" i="67" s="1"/>
  <c r="H21" i="67"/>
  <c r="H181" i="59"/>
  <c r="M119" i="67"/>
  <c r="M158" i="67" s="1"/>
  <c r="Q433" i="59"/>
  <c r="Q589" i="59" s="1"/>
  <c r="F711" i="67"/>
  <c r="F640" i="59"/>
  <c r="F457" i="53"/>
  <c r="G918" i="59"/>
  <c r="G1074" i="59" s="1"/>
  <c r="J312" i="67"/>
  <c r="J272" i="67"/>
  <c r="J311" i="67" s="1"/>
  <c r="F1101" i="59"/>
  <c r="L220" i="67"/>
  <c r="L259" i="67" s="1"/>
  <c r="P688" i="59"/>
  <c r="P844" i="59" s="1"/>
  <c r="F625" i="54"/>
  <c r="F507" i="54" s="1"/>
  <c r="D186" i="49" s="1"/>
  <c r="K186" i="49" s="1"/>
  <c r="J228" i="67"/>
  <c r="J188" i="67"/>
  <c r="J227" i="67" s="1"/>
  <c r="F320" i="54"/>
  <c r="F202" i="54" s="1"/>
  <c r="D113" i="49" s="1"/>
  <c r="K113" i="49" s="1"/>
  <c r="N211" i="53"/>
  <c r="O430" i="59"/>
  <c r="O586" i="59" s="1"/>
  <c r="H663" i="59"/>
  <c r="H819" i="59" s="1"/>
  <c r="H195" i="67"/>
  <c r="H234" i="67" s="1"/>
  <c r="H675" i="59"/>
  <c r="H831" i="59" s="1"/>
  <c r="H207" i="67"/>
  <c r="H246" i="67" s="1"/>
  <c r="F402" i="59"/>
  <c r="L112" i="67"/>
  <c r="L151" i="67" s="1"/>
  <c r="P426" i="59"/>
  <c r="P582" i="59" s="1"/>
  <c r="F325" i="54"/>
  <c r="F207" i="54" s="1"/>
  <c r="D118" i="49" s="1"/>
  <c r="K118" i="49" s="1"/>
  <c r="H132" i="67"/>
  <c r="H171" i="67" s="1"/>
  <c r="H446" i="59"/>
  <c r="H602" i="59" s="1"/>
  <c r="Q423" i="59"/>
  <c r="Q579" i="59" s="1"/>
  <c r="M109" i="67"/>
  <c r="M148" i="67" s="1"/>
  <c r="I192" i="59"/>
  <c r="I348" i="59" s="1"/>
  <c r="I32" i="67"/>
  <c r="I71" i="67" s="1"/>
  <c r="L28" i="67"/>
  <c r="L67" i="67" s="1"/>
  <c r="P188" i="59"/>
  <c r="P344" i="59" s="1"/>
  <c r="F85" i="53"/>
  <c r="G183" i="59"/>
  <c r="G339" i="59" s="1"/>
  <c r="F404" i="59"/>
  <c r="P421" i="59"/>
  <c r="P577" i="59" s="1"/>
  <c r="L107" i="67"/>
  <c r="L146" i="67" s="1"/>
  <c r="I28" i="67"/>
  <c r="I67" i="67" s="1"/>
  <c r="I188" i="59"/>
  <c r="I344" i="59" s="1"/>
  <c r="F638" i="54"/>
  <c r="F520" i="54" s="1"/>
  <c r="D199" i="49" s="1"/>
  <c r="K199" i="49" s="1"/>
  <c r="F454" i="54"/>
  <c r="F336" i="54" s="1"/>
  <c r="D131" i="49" s="1"/>
  <c r="L106" i="67"/>
  <c r="L145" i="67" s="1"/>
  <c r="P420" i="59"/>
  <c r="P576" i="59" s="1"/>
  <c r="F457" i="54"/>
  <c r="F339" i="54" s="1"/>
  <c r="D134" i="49" s="1"/>
  <c r="H450" i="59"/>
  <c r="H606" i="59" s="1"/>
  <c r="H136" i="67"/>
  <c r="H175" i="67" s="1"/>
  <c r="I289" i="67"/>
  <c r="I328" i="67" s="1"/>
  <c r="I911" i="59"/>
  <c r="I1067" i="59" s="1"/>
  <c r="F872" i="59"/>
  <c r="F861" i="59"/>
  <c r="H907" i="59"/>
  <c r="H1063" i="59" s="1"/>
  <c r="H285" i="67"/>
  <c r="H324" i="67" s="1"/>
  <c r="M190" i="67"/>
  <c r="M229" i="67" s="1"/>
  <c r="Q658" i="59"/>
  <c r="Q814" i="59" s="1"/>
  <c r="F475" i="54"/>
  <c r="F357" i="54" s="1"/>
  <c r="D152" i="49" s="1"/>
  <c r="F859" i="59"/>
  <c r="P478" i="67"/>
  <c r="F478" i="67" s="1"/>
  <c r="P439" i="67"/>
  <c r="P477" i="67" s="1"/>
  <c r="F477" i="67" s="1"/>
  <c r="P445" i="59"/>
  <c r="P601" i="59" s="1"/>
  <c r="L131" i="67"/>
  <c r="L170" i="67" s="1"/>
  <c r="H195" i="59"/>
  <c r="H351" i="59" s="1"/>
  <c r="H35" i="67"/>
  <c r="H74" i="67" s="1"/>
  <c r="I42" i="67"/>
  <c r="I81" i="67" s="1"/>
  <c r="I202" i="59"/>
  <c r="I358" i="59" s="1"/>
  <c r="F749" i="67"/>
  <c r="M114" i="67"/>
  <c r="M153" i="67" s="1"/>
  <c r="Q428" i="59"/>
  <c r="Q584" i="59" s="1"/>
  <c r="F111" i="53"/>
  <c r="G209" i="59"/>
  <c r="G365" i="59" s="1"/>
  <c r="I24" i="67"/>
  <c r="I63" i="67" s="1"/>
  <c r="I184" i="59"/>
  <c r="I340" i="59" s="1"/>
  <c r="I40" i="67"/>
  <c r="I79" i="67" s="1"/>
  <c r="I200" i="59"/>
  <c r="I356" i="59" s="1"/>
  <c r="G213" i="59"/>
  <c r="G369" i="59" s="1"/>
  <c r="F115" i="53"/>
  <c r="H41" i="67"/>
  <c r="H80" i="67" s="1"/>
  <c r="H201" i="59"/>
  <c r="H357" i="59" s="1"/>
  <c r="O432" i="59"/>
  <c r="O588" i="59" s="1"/>
  <c r="N213" i="53"/>
  <c r="I376" i="59"/>
  <c r="I375" i="59" s="1"/>
  <c r="I219" i="59"/>
  <c r="F105" i="53"/>
  <c r="G203" i="59"/>
  <c r="G359" i="59" s="1"/>
  <c r="F467" i="53"/>
  <c r="G928" i="59"/>
  <c r="G1084" i="59" s="1"/>
  <c r="F878" i="59"/>
  <c r="M306" i="67"/>
  <c r="M345" i="67" s="1"/>
  <c r="Q928" i="59"/>
  <c r="Q1084" i="59" s="1"/>
  <c r="Q920" i="59"/>
  <c r="Q1076" i="59" s="1"/>
  <c r="M298" i="67"/>
  <c r="M337" i="67" s="1"/>
  <c r="K147" i="49"/>
  <c r="F336" i="53"/>
  <c r="G676" i="59"/>
  <c r="G832" i="59" s="1"/>
  <c r="I668" i="59"/>
  <c r="I824" i="59" s="1"/>
  <c r="I200" i="67"/>
  <c r="I239" i="67" s="1"/>
  <c r="M197" i="67"/>
  <c r="M236" i="67" s="1"/>
  <c r="Q665" i="59"/>
  <c r="Q821" i="59" s="1"/>
  <c r="I419" i="59"/>
  <c r="I105" i="67"/>
  <c r="F91" i="53"/>
  <c r="G189" i="59"/>
  <c r="G345" i="59" s="1"/>
  <c r="P198" i="59"/>
  <c r="P354" i="59" s="1"/>
  <c r="L38" i="67"/>
  <c r="L77" i="67" s="1"/>
  <c r="Q181" i="59"/>
  <c r="M21" i="67"/>
  <c r="I685" i="59"/>
  <c r="I841" i="59" s="1"/>
  <c r="I217" i="67"/>
  <c r="I256" i="67" s="1"/>
  <c r="K140" i="49"/>
  <c r="H688" i="59"/>
  <c r="H844" i="59" s="1"/>
  <c r="H220" i="67"/>
  <c r="H259" i="67" s="1"/>
  <c r="L192" i="67"/>
  <c r="L231" i="67" s="1"/>
  <c r="P660" i="59"/>
  <c r="P816" i="59" s="1"/>
  <c r="M195" i="67"/>
  <c r="M234" i="67" s="1"/>
  <c r="Q663" i="59"/>
  <c r="Q819" i="59" s="1"/>
  <c r="P675" i="59"/>
  <c r="P831" i="59" s="1"/>
  <c r="L207" i="67"/>
  <c r="L246" i="67" s="1"/>
  <c r="I203" i="67"/>
  <c r="I242" i="67" s="1"/>
  <c r="I671" i="59"/>
  <c r="I827" i="59" s="1"/>
  <c r="M287" i="67"/>
  <c r="M326" i="67" s="1"/>
  <c r="Q909" i="59"/>
  <c r="Q1065" i="59" s="1"/>
  <c r="Q683" i="59"/>
  <c r="Q839" i="59" s="1"/>
  <c r="M215" i="67"/>
  <c r="M254" i="67" s="1"/>
  <c r="I211" i="67"/>
  <c r="I250" i="67" s="1"/>
  <c r="I679" i="59"/>
  <c r="I835" i="59" s="1"/>
  <c r="G683" i="59"/>
  <c r="G839" i="59" s="1"/>
  <c r="F343" i="53"/>
  <c r="K781" i="67"/>
  <c r="M127" i="67"/>
  <c r="M166" i="67" s="1"/>
  <c r="Q441" i="59"/>
  <c r="Q597" i="59" s="1"/>
  <c r="F158" i="54"/>
  <c r="F40" i="54" s="1"/>
  <c r="D67" i="49" s="1"/>
  <c r="M42" i="67"/>
  <c r="M81" i="67" s="1"/>
  <c r="Q202" i="59"/>
  <c r="Q358" i="59" s="1"/>
  <c r="F379" i="59"/>
  <c r="H431" i="59"/>
  <c r="H587" i="59" s="1"/>
  <c r="H117" i="67"/>
  <c r="H156" i="67" s="1"/>
  <c r="F409" i="59"/>
  <c r="I138" i="67"/>
  <c r="I177" i="67" s="1"/>
  <c r="I452" i="59"/>
  <c r="I608" i="59" s="1"/>
  <c r="L214" i="67"/>
  <c r="L253" i="67" s="1"/>
  <c r="P682" i="59"/>
  <c r="P838" i="59" s="1"/>
  <c r="H292" i="67"/>
  <c r="H331" i="67" s="1"/>
  <c r="H914" i="59"/>
  <c r="H1070" i="59" s="1"/>
  <c r="H307" i="67"/>
  <c r="H346" i="67" s="1"/>
  <c r="H929" i="59"/>
  <c r="H1085" i="59" s="1"/>
  <c r="F789" i="67"/>
  <c r="G922" i="59"/>
  <c r="G1078" i="59" s="1"/>
  <c r="F461" i="53"/>
  <c r="H448" i="59"/>
  <c r="H604" i="59" s="1"/>
  <c r="H134" i="67"/>
  <c r="H173" i="67" s="1"/>
  <c r="H218" i="67"/>
  <c r="H257" i="67" s="1"/>
  <c r="H686" i="59"/>
  <c r="H842" i="59" s="1"/>
  <c r="H282" i="67"/>
  <c r="H321" i="67" s="1"/>
  <c r="H904" i="59"/>
  <c r="H1060" i="59" s="1"/>
  <c r="H662" i="59"/>
  <c r="H818" i="59" s="1"/>
  <c r="H194" i="67"/>
  <c r="H233" i="67" s="1"/>
  <c r="F770" i="67"/>
  <c r="I678" i="59"/>
  <c r="I834" i="59" s="1"/>
  <c r="I210" i="67"/>
  <c r="I249" i="67" s="1"/>
  <c r="L284" i="67"/>
  <c r="L323" i="67" s="1"/>
  <c r="P906" i="59"/>
  <c r="P1062" i="59" s="1"/>
  <c r="G444" i="59"/>
  <c r="G600" i="59" s="1"/>
  <c r="F225" i="53"/>
  <c r="M139" i="67"/>
  <c r="M178" i="67" s="1"/>
  <c r="Q453" i="59"/>
  <c r="Q609" i="59" s="1"/>
  <c r="O900" i="59"/>
  <c r="O1056" i="59" s="1"/>
  <c r="N439" i="53"/>
  <c r="P450" i="59"/>
  <c r="P606" i="59" s="1"/>
  <c r="L136" i="67"/>
  <c r="L175" i="67" s="1"/>
  <c r="F690" i="67"/>
  <c r="J689" i="67"/>
  <c r="F624" i="59"/>
  <c r="P208" i="59"/>
  <c r="P364" i="59" s="1"/>
  <c r="L48" i="67"/>
  <c r="L87" i="67" s="1"/>
  <c r="I215" i="59"/>
  <c r="I371" i="59" s="1"/>
  <c r="I55" i="67"/>
  <c r="I94" i="67" s="1"/>
  <c r="R180" i="59"/>
  <c r="R337" i="59"/>
  <c r="R336" i="59" s="1"/>
  <c r="N113" i="53"/>
  <c r="O211" i="59"/>
  <c r="O367" i="59" s="1"/>
  <c r="L294" i="67"/>
  <c r="L333" i="67" s="1"/>
  <c r="P916" i="59"/>
  <c r="P1072" i="59" s="1"/>
  <c r="I294" i="67"/>
  <c r="I333" i="67" s="1"/>
  <c r="I916" i="59"/>
  <c r="I1072" i="59" s="1"/>
  <c r="L292" i="67"/>
  <c r="L331" i="67" s="1"/>
  <c r="P914" i="59"/>
  <c r="P1070" i="59" s="1"/>
  <c r="F853" i="67"/>
  <c r="N341" i="53"/>
  <c r="O681" i="59"/>
  <c r="O837" i="59" s="1"/>
  <c r="F787" i="67"/>
  <c r="N212" i="53"/>
  <c r="O431" i="59"/>
  <c r="O587" i="59" s="1"/>
  <c r="F621" i="59"/>
  <c r="Q196" i="59"/>
  <c r="Q352" i="59" s="1"/>
  <c r="M36" i="67"/>
  <c r="M75" i="67" s="1"/>
  <c r="F168" i="54"/>
  <c r="F50" i="54" s="1"/>
  <c r="D77" i="49" s="1"/>
  <c r="I36" i="67"/>
  <c r="I75" i="67" s="1"/>
  <c r="I196" i="59"/>
  <c r="I352" i="59" s="1"/>
  <c r="L29" i="67"/>
  <c r="L68" i="67" s="1"/>
  <c r="P189" i="59"/>
  <c r="P345" i="59" s="1"/>
  <c r="L34" i="67"/>
  <c r="L73" i="67" s="1"/>
  <c r="P194" i="59"/>
  <c r="P350" i="59" s="1"/>
  <c r="L193" i="67"/>
  <c r="L232" i="67" s="1"/>
  <c r="P661" i="59"/>
  <c r="P817" i="59" s="1"/>
  <c r="H122" i="67"/>
  <c r="H161" i="67" s="1"/>
  <c r="H436" i="59"/>
  <c r="H592" i="59" s="1"/>
  <c r="K133" i="49"/>
  <c r="I291" i="67"/>
  <c r="I330" i="67" s="1"/>
  <c r="I913" i="59"/>
  <c r="I1069" i="59" s="1"/>
  <c r="N1090" i="59"/>
  <c r="N1089" i="59" s="1"/>
  <c r="N933" i="59"/>
  <c r="F809" i="67"/>
  <c r="F471" i="54"/>
  <c r="F353" i="54" s="1"/>
  <c r="D148" i="49" s="1"/>
  <c r="H449" i="59"/>
  <c r="H605" i="59" s="1"/>
  <c r="H135" i="67"/>
  <c r="H174" i="67" s="1"/>
  <c r="Q687" i="59"/>
  <c r="Q843" i="59" s="1"/>
  <c r="M219" i="67"/>
  <c r="M258" i="67" s="1"/>
  <c r="I659" i="59"/>
  <c r="I815" i="59" s="1"/>
  <c r="I191" i="67"/>
  <c r="I230" i="67" s="1"/>
  <c r="L126" i="67"/>
  <c r="L165" i="67" s="1"/>
  <c r="P440" i="59"/>
  <c r="P596" i="59" s="1"/>
  <c r="I114" i="67"/>
  <c r="I153" i="67" s="1"/>
  <c r="I428" i="59"/>
  <c r="I584" i="59" s="1"/>
  <c r="I194" i="59"/>
  <c r="I350" i="59" s="1"/>
  <c r="I34" i="67"/>
  <c r="I73" i="67" s="1"/>
  <c r="G182" i="59"/>
  <c r="G338" i="59" s="1"/>
  <c r="F84" i="53"/>
  <c r="P190" i="59"/>
  <c r="P346" i="59" s="1"/>
  <c r="L30" i="67"/>
  <c r="L69" i="67" s="1"/>
  <c r="F696" i="67"/>
  <c r="F114" i="53"/>
  <c r="G212" i="59"/>
  <c r="G368" i="59" s="1"/>
  <c r="G614" i="59"/>
  <c r="G457" i="59"/>
  <c r="O685" i="59"/>
  <c r="O841" i="59" s="1"/>
  <c r="N345" i="53"/>
  <c r="G923" i="59"/>
  <c r="G1079" i="59" s="1"/>
  <c r="F462" i="53"/>
  <c r="F842" i="67"/>
  <c r="P898" i="59"/>
  <c r="P1054" i="59" s="1"/>
  <c r="L276" i="67"/>
  <c r="L315" i="67" s="1"/>
  <c r="M852" i="59"/>
  <c r="M851" i="59" s="1"/>
  <c r="M695" i="59"/>
  <c r="I453" i="59"/>
  <c r="I609" i="59" s="1"/>
  <c r="I139" i="67"/>
  <c r="I178" i="67" s="1"/>
  <c r="F161" i="54"/>
  <c r="F43" i="54" s="1"/>
  <c r="D70" i="49" s="1"/>
  <c r="M120" i="67"/>
  <c r="M159" i="67" s="1"/>
  <c r="Q434" i="59"/>
  <c r="Q590" i="59" s="1"/>
  <c r="F615" i="59"/>
  <c r="F318" i="54"/>
  <c r="F200" i="54" s="1"/>
  <c r="D111" i="49" s="1"/>
  <c r="K111" i="49" s="1"/>
  <c r="G429" i="59"/>
  <c r="G585" i="59" s="1"/>
  <c r="F210" i="53"/>
  <c r="N111" i="53"/>
  <c r="O209" i="59"/>
  <c r="O365" i="59" s="1"/>
  <c r="F634" i="59"/>
  <c r="F203" i="53"/>
  <c r="G422" i="59"/>
  <c r="G578" i="59" s="1"/>
  <c r="I21" i="67"/>
  <c r="I181" i="59"/>
  <c r="N214" i="53"/>
  <c r="O433" i="59"/>
  <c r="O589" i="59" s="1"/>
  <c r="F295" i="54"/>
  <c r="F177" i="54" s="1"/>
  <c r="D88" i="49" s="1"/>
  <c r="F299" i="54"/>
  <c r="F181" i="54" s="1"/>
  <c r="D92" i="49" s="1"/>
  <c r="F868" i="59"/>
  <c r="J894" i="59"/>
  <c r="J1051" i="59"/>
  <c r="J1050" i="59" s="1"/>
  <c r="O917" i="59"/>
  <c r="O1073" i="59" s="1"/>
  <c r="N456" i="53"/>
  <c r="H687" i="59"/>
  <c r="H843" i="59" s="1"/>
  <c r="H219" i="67"/>
  <c r="H258" i="67" s="1"/>
  <c r="F626" i="54"/>
  <c r="F508" i="54" s="1"/>
  <c r="D187" i="49" s="1"/>
  <c r="K187" i="49" s="1"/>
  <c r="J656" i="59"/>
  <c r="J813" i="59"/>
  <c r="J812" i="59" s="1"/>
  <c r="F850" i="67"/>
  <c r="O435" i="59"/>
  <c r="O591" i="59" s="1"/>
  <c r="N216" i="53"/>
  <c r="P690" i="59"/>
  <c r="P846" i="59" s="1"/>
  <c r="L222" i="67"/>
  <c r="L261" i="67" s="1"/>
  <c r="M116" i="67"/>
  <c r="M155" i="67" s="1"/>
  <c r="Q430" i="59"/>
  <c r="Q586" i="59" s="1"/>
  <c r="I128" i="67"/>
  <c r="I167" i="67" s="1"/>
  <c r="I442" i="59"/>
  <c r="I598" i="59" s="1"/>
  <c r="O426" i="59"/>
  <c r="O582" i="59" s="1"/>
  <c r="N207" i="53"/>
  <c r="L138" i="67"/>
  <c r="L177" i="67" s="1"/>
  <c r="P452" i="59"/>
  <c r="P608" i="59" s="1"/>
  <c r="F323" i="54"/>
  <c r="F205" i="54" s="1"/>
  <c r="D116" i="49" s="1"/>
  <c r="K116" i="49" s="1"/>
  <c r="F227" i="53"/>
  <c r="G446" i="59"/>
  <c r="G602" i="59" s="1"/>
  <c r="P423" i="59"/>
  <c r="P579" i="59" s="1"/>
  <c r="L109" i="67"/>
  <c r="L148" i="67" s="1"/>
  <c r="F94" i="53"/>
  <c r="G192" i="59"/>
  <c r="G348" i="59" s="1"/>
  <c r="M28" i="67"/>
  <c r="M67" i="67" s="1"/>
  <c r="Q188" i="59"/>
  <c r="Q344" i="59" s="1"/>
  <c r="H183" i="59"/>
  <c r="H339" i="59" s="1"/>
  <c r="H23" i="67"/>
  <c r="H62" i="67" s="1"/>
  <c r="F617" i="59"/>
  <c r="O421" i="59"/>
  <c r="O577" i="59" s="1"/>
  <c r="N202" i="53"/>
  <c r="F391" i="59"/>
  <c r="F141" i="54"/>
  <c r="F23" i="54" s="1"/>
  <c r="D50" i="49" s="1"/>
  <c r="F639" i="54"/>
  <c r="F521" i="54" s="1"/>
  <c r="D200" i="49" s="1"/>
  <c r="K200" i="49" s="1"/>
  <c r="F340" i="53"/>
  <c r="G680" i="59"/>
  <c r="G836" i="59" s="1"/>
  <c r="N201" i="53"/>
  <c r="O420" i="59"/>
  <c r="O576" i="59" s="1"/>
  <c r="H290" i="67"/>
  <c r="H329" i="67" s="1"/>
  <c r="H912" i="59"/>
  <c r="H1068" i="59" s="1"/>
  <c r="O662" i="59"/>
  <c r="O818" i="59" s="1"/>
  <c r="N322" i="53"/>
  <c r="F843" i="67"/>
  <c r="F231" i="53"/>
  <c r="G450" i="59"/>
  <c r="G606" i="59" s="1"/>
  <c r="F1106" i="59"/>
  <c r="G907" i="59"/>
  <c r="G1063" i="59" s="1"/>
  <c r="F446" i="53"/>
  <c r="F835" i="67"/>
  <c r="P658" i="59"/>
  <c r="P814" i="59" s="1"/>
  <c r="L190" i="67"/>
  <c r="L229" i="67" s="1"/>
  <c r="Q445" i="59"/>
  <c r="Q601" i="59" s="1"/>
  <c r="M131" i="67"/>
  <c r="M170" i="67" s="1"/>
  <c r="G658" i="59"/>
  <c r="G814" i="59" s="1"/>
  <c r="F318" i="53"/>
  <c r="H42" i="67"/>
  <c r="H81" i="67" s="1"/>
  <c r="H202" i="59"/>
  <c r="H358" i="59" s="1"/>
  <c r="F763" i="67"/>
  <c r="O428" i="59"/>
  <c r="O584" i="59" s="1"/>
  <c r="N209" i="53"/>
  <c r="H209" i="59"/>
  <c r="H365" i="59" s="1"/>
  <c r="H49" i="67"/>
  <c r="H88" i="67" s="1"/>
  <c r="F633" i="59"/>
  <c r="G200" i="59"/>
  <c r="G356" i="59" s="1"/>
  <c r="F102" i="53"/>
  <c r="F140" i="54"/>
  <c r="F22" i="54" s="1"/>
  <c r="D49" i="49" s="1"/>
  <c r="I213" i="59"/>
  <c r="I369" i="59" s="1"/>
  <c r="I53" i="67"/>
  <c r="I92" i="67" s="1"/>
  <c r="I201" i="59"/>
  <c r="I357" i="59" s="1"/>
  <c r="I41" i="67"/>
  <c r="I80" i="67" s="1"/>
  <c r="F164" i="54"/>
  <c r="F46" i="54" s="1"/>
  <c r="D73" i="49" s="1"/>
  <c r="P432" i="59"/>
  <c r="P588" i="59" s="1"/>
  <c r="L118" i="67"/>
  <c r="L157" i="67" s="1"/>
  <c r="F392" i="59"/>
  <c r="G376" i="59"/>
  <c r="G219" i="59"/>
  <c r="I306" i="67"/>
  <c r="I345" i="67" s="1"/>
  <c r="I928" i="59"/>
  <c r="I1084" i="59" s="1"/>
  <c r="I133" i="67"/>
  <c r="I172" i="67" s="1"/>
  <c r="I447" i="59"/>
  <c r="I603" i="59" s="1"/>
  <c r="N467" i="53"/>
  <c r="O928" i="59"/>
  <c r="O1084" i="59" s="1"/>
  <c r="L298" i="67"/>
  <c r="L337" i="67" s="1"/>
  <c r="P920" i="59"/>
  <c r="P1076" i="59" s="1"/>
  <c r="P438" i="59"/>
  <c r="P594" i="59" s="1"/>
  <c r="L124" i="67"/>
  <c r="L163" i="67" s="1"/>
  <c r="H208" i="67"/>
  <c r="H247" i="67" s="1"/>
  <c r="H676" i="59"/>
  <c r="H832" i="59" s="1"/>
  <c r="K160" i="49"/>
  <c r="P665" i="59"/>
  <c r="P821" i="59" s="1"/>
  <c r="L197" i="67"/>
  <c r="L236" i="67" s="1"/>
  <c r="H189" i="59"/>
  <c r="H345" i="59" s="1"/>
  <c r="H29" i="67"/>
  <c r="H68" i="67" s="1"/>
  <c r="L21" i="67"/>
  <c r="P181" i="59"/>
  <c r="F345" i="53"/>
  <c r="G685" i="59"/>
  <c r="G841" i="59" s="1"/>
  <c r="G440" i="59"/>
  <c r="G596" i="59" s="1"/>
  <c r="F221" i="53"/>
  <c r="O660" i="59"/>
  <c r="O816" i="59" s="1"/>
  <c r="N320" i="53"/>
  <c r="L195" i="67"/>
  <c r="L234" i="67" s="1"/>
  <c r="P663" i="59"/>
  <c r="P819" i="59" s="1"/>
  <c r="N335" i="53"/>
  <c r="O675" i="59"/>
  <c r="O831" i="59" s="1"/>
  <c r="H671" i="59"/>
  <c r="H827" i="59" s="1"/>
  <c r="H203" i="67"/>
  <c r="H242" i="67" s="1"/>
  <c r="P909" i="59"/>
  <c r="P1065" i="59" s="1"/>
  <c r="L287" i="67"/>
  <c r="L326" i="67" s="1"/>
  <c r="O901" i="59"/>
  <c r="O1057" i="59" s="1"/>
  <c r="N440" i="53"/>
  <c r="I683" i="59"/>
  <c r="I839" i="59" s="1"/>
  <c r="I215" i="67"/>
  <c r="I254" i="67" s="1"/>
  <c r="S813" i="59"/>
  <c r="S812" i="59" s="1"/>
  <c r="S656" i="59"/>
  <c r="Q443" i="59"/>
  <c r="Q599" i="59" s="1"/>
  <c r="M129" i="67"/>
  <c r="M168" i="67" s="1"/>
  <c r="G657" i="59"/>
  <c r="F317" i="53"/>
  <c r="K735" i="67"/>
  <c r="N104" i="53"/>
  <c r="O202" i="59"/>
  <c r="O358" i="59" s="1"/>
  <c r="G431" i="59"/>
  <c r="G587" i="59" s="1"/>
  <c r="F212" i="53"/>
  <c r="G452" i="59"/>
  <c r="G608" i="59" s="1"/>
  <c r="F233" i="53"/>
  <c r="Q682" i="59"/>
  <c r="Q838" i="59" s="1"/>
  <c r="M214" i="67"/>
  <c r="M253" i="67" s="1"/>
  <c r="F453" i="53"/>
  <c r="G914" i="59"/>
  <c r="G1070" i="59" s="1"/>
  <c r="H672" i="59"/>
  <c r="H828" i="59" s="1"/>
  <c r="H204" i="67"/>
  <c r="H243" i="67" s="1"/>
  <c r="I307" i="67"/>
  <c r="I346" i="67" s="1"/>
  <c r="I929" i="59"/>
  <c r="I1085" i="59" s="1"/>
  <c r="H922" i="59"/>
  <c r="H1078" i="59" s="1"/>
  <c r="H300" i="67"/>
  <c r="H339" i="67" s="1"/>
  <c r="I134" i="67"/>
  <c r="I173" i="67" s="1"/>
  <c r="I448" i="59"/>
  <c r="I604" i="59" s="1"/>
  <c r="M210" i="67"/>
  <c r="M249" i="67" s="1"/>
  <c r="Q678" i="59"/>
  <c r="Q834" i="59" s="1"/>
  <c r="I282" i="67"/>
  <c r="I321" i="67" s="1"/>
  <c r="I904" i="59"/>
  <c r="I1060" i="59" s="1"/>
  <c r="F338" i="53"/>
  <c r="G678" i="59"/>
  <c r="G834" i="59" s="1"/>
  <c r="Q906" i="59"/>
  <c r="Q1062" i="59" s="1"/>
  <c r="M284" i="67"/>
  <c r="M323" i="67" s="1"/>
  <c r="F794" i="67"/>
  <c r="Q450" i="59"/>
  <c r="Q606" i="59" s="1"/>
  <c r="M136" i="67"/>
  <c r="M175" i="67" s="1"/>
  <c r="J781" i="67"/>
  <c r="F782" i="67"/>
  <c r="K337" i="59"/>
  <c r="K336" i="59" s="1"/>
  <c r="K180" i="59"/>
  <c r="N110" i="53"/>
  <c r="O208" i="59"/>
  <c r="O364" i="59" s="1"/>
  <c r="H215" i="59"/>
  <c r="H371" i="59" s="1"/>
  <c r="H55" i="67"/>
  <c r="H94" i="67" s="1"/>
  <c r="P211" i="59"/>
  <c r="P367" i="59" s="1"/>
  <c r="L51" i="67"/>
  <c r="L90" i="67" s="1"/>
  <c r="H916" i="59"/>
  <c r="H1072" i="59" s="1"/>
  <c r="H294" i="67"/>
  <c r="H333" i="67" s="1"/>
  <c r="M292" i="67"/>
  <c r="M331" i="67" s="1"/>
  <c r="Q914" i="59"/>
  <c r="Q1070" i="59" s="1"/>
  <c r="L285" i="67"/>
  <c r="L324" i="67" s="1"/>
  <c r="P907" i="59"/>
  <c r="P1063" i="59" s="1"/>
  <c r="I909" i="59"/>
  <c r="I1065" i="59" s="1"/>
  <c r="I287" i="67"/>
  <c r="I326" i="67" s="1"/>
  <c r="Q431" i="59"/>
  <c r="Q587" i="59" s="1"/>
  <c r="M117" i="67"/>
  <c r="M156" i="67" s="1"/>
  <c r="F702" i="67"/>
  <c r="H432" i="59"/>
  <c r="H588" i="59" s="1"/>
  <c r="H118" i="67"/>
  <c r="H157" i="67" s="1"/>
  <c r="F709" i="67"/>
  <c r="Q189" i="59"/>
  <c r="Q345" i="59" s="1"/>
  <c r="M29" i="67"/>
  <c r="M68" i="67" s="1"/>
  <c r="F145" i="54"/>
  <c r="F27" i="54" s="1"/>
  <c r="D54" i="49" s="1"/>
  <c r="H109" i="67"/>
  <c r="H148" i="67" s="1"/>
  <c r="H423" i="59"/>
  <c r="H579" i="59" s="1"/>
  <c r="O194" i="59"/>
  <c r="O350" i="59" s="1"/>
  <c r="N96" i="53"/>
  <c r="M289" i="67"/>
  <c r="M328" i="67" s="1"/>
  <c r="Q911" i="59"/>
  <c r="Q1067" i="59" s="1"/>
  <c r="I122" i="67"/>
  <c r="I161" i="67" s="1"/>
  <c r="I436" i="59"/>
  <c r="I592" i="59" s="1"/>
  <c r="H291" i="67"/>
  <c r="H330" i="67" s="1"/>
  <c r="H913" i="59"/>
  <c r="H1069" i="59" s="1"/>
  <c r="J1090" i="59"/>
  <c r="J1089" i="59" s="1"/>
  <c r="J933" i="59"/>
  <c r="F800" i="67"/>
  <c r="L291" i="67"/>
  <c r="L330" i="67" s="1"/>
  <c r="P913" i="59"/>
  <c r="P1069" i="59" s="1"/>
  <c r="G437" i="59"/>
  <c r="G593" i="59" s="1"/>
  <c r="F218" i="53"/>
  <c r="N230" i="53"/>
  <c r="O449" i="59"/>
  <c r="O605" i="59" s="1"/>
  <c r="Q440" i="59"/>
  <c r="Q596" i="59" s="1"/>
  <c r="M126" i="67"/>
  <c r="M165" i="67" s="1"/>
  <c r="H428" i="59"/>
  <c r="H584" i="59" s="1"/>
  <c r="H114" i="67"/>
  <c r="H153" i="67" s="1"/>
  <c r="F96" i="53"/>
  <c r="G194" i="59"/>
  <c r="G350" i="59" s="1"/>
  <c r="I182" i="59"/>
  <c r="I338" i="59" s="1"/>
  <c r="I22" i="67"/>
  <c r="I61" i="67" s="1"/>
  <c r="Q186" i="59"/>
  <c r="Q342" i="59" s="1"/>
  <c r="M26" i="67"/>
  <c r="M65" i="67" s="1"/>
  <c r="M53" i="67"/>
  <c r="M92" i="67" s="1"/>
  <c r="Q213" i="59"/>
  <c r="Q369" i="59" s="1"/>
  <c r="H199" i="59"/>
  <c r="H355" i="59" s="1"/>
  <c r="H39" i="67"/>
  <c r="H78" i="67" s="1"/>
  <c r="I52" i="67"/>
  <c r="I91" i="67" s="1"/>
  <c r="I212" i="59"/>
  <c r="I368" i="59" s="1"/>
  <c r="H614" i="59"/>
  <c r="H613" i="59" s="1"/>
  <c r="H457" i="59"/>
  <c r="M1051" i="59"/>
  <c r="M1050" i="59" s="1"/>
  <c r="M894" i="59"/>
  <c r="F807" i="67"/>
  <c r="H301" i="67"/>
  <c r="H340" i="67" s="1"/>
  <c r="H923" i="59"/>
  <c r="H1079" i="59" s="1"/>
  <c r="F620" i="54"/>
  <c r="F502" i="54" s="1"/>
  <c r="D181" i="49" s="1"/>
  <c r="K181" i="49" s="1"/>
  <c r="N852" i="59"/>
  <c r="N851" i="59" s="1"/>
  <c r="N695" i="59"/>
  <c r="H441" i="59"/>
  <c r="H597" i="59" s="1"/>
  <c r="H127" i="67"/>
  <c r="H166" i="67" s="1"/>
  <c r="H139" i="67"/>
  <c r="H178" i="67" s="1"/>
  <c r="H453" i="59"/>
  <c r="H609" i="59" s="1"/>
  <c r="I38" i="67"/>
  <c r="I77" i="67" s="1"/>
  <c r="I198" i="59"/>
  <c r="I354" i="59" s="1"/>
  <c r="H115" i="67"/>
  <c r="H154" i="67" s="1"/>
  <c r="H429" i="59"/>
  <c r="H585" i="59" s="1"/>
  <c r="F304" i="54"/>
  <c r="F186" i="54" s="1"/>
  <c r="I108" i="67"/>
  <c r="I147" i="67" s="1"/>
  <c r="I422" i="59"/>
  <c r="I578" i="59" s="1"/>
  <c r="F625" i="59"/>
  <c r="L23" i="67"/>
  <c r="L62" i="67" s="1"/>
  <c r="P183" i="59"/>
  <c r="P339" i="59" s="1"/>
  <c r="H30" i="67"/>
  <c r="H69" i="67" s="1"/>
  <c r="H190" i="59"/>
  <c r="H346" i="59" s="1"/>
  <c r="F83" i="53"/>
  <c r="G181" i="59"/>
  <c r="P433" i="59"/>
  <c r="P589" i="59" s="1"/>
  <c r="L119" i="67"/>
  <c r="L158" i="67" s="1"/>
  <c r="M290" i="67"/>
  <c r="M329" i="67" s="1"/>
  <c r="Q912" i="59"/>
  <c r="Q1068" i="59" s="1"/>
  <c r="L295" i="67"/>
  <c r="L334" i="67" s="1"/>
  <c r="P917" i="59"/>
  <c r="P1073" i="59" s="1"/>
  <c r="F347" i="53"/>
  <c r="G687" i="59"/>
  <c r="G843" i="59" s="1"/>
  <c r="F633" i="54"/>
  <c r="F515" i="54" s="1"/>
  <c r="D194" i="49" s="1"/>
  <c r="K194" i="49" s="1"/>
  <c r="P435" i="59"/>
  <c r="P591" i="59" s="1"/>
  <c r="L121" i="67"/>
  <c r="L160" i="67" s="1"/>
  <c r="Q690" i="59"/>
  <c r="Q846" i="59" s="1"/>
  <c r="M222" i="67"/>
  <c r="M261" i="67" s="1"/>
  <c r="M301" i="67"/>
  <c r="M340" i="67" s="1"/>
  <c r="Q923" i="59"/>
  <c r="Q1079" i="59" s="1"/>
  <c r="H214" i="67"/>
  <c r="H253" i="67" s="1"/>
  <c r="H682" i="59"/>
  <c r="H838" i="59" s="1"/>
  <c r="F804" i="67"/>
  <c r="G442" i="59"/>
  <c r="G598" i="59" s="1"/>
  <c r="F223" i="53"/>
  <c r="F767" i="67"/>
  <c r="Q426" i="59"/>
  <c r="Q582" i="59" s="1"/>
  <c r="M112" i="67"/>
  <c r="M151" i="67" s="1"/>
  <c r="O452" i="59"/>
  <c r="O608" i="59" s="1"/>
  <c r="N233" i="53"/>
  <c r="I186" i="59"/>
  <c r="I342" i="59" s="1"/>
  <c r="I26" i="67"/>
  <c r="I65" i="67" s="1"/>
  <c r="H46" i="67"/>
  <c r="H85" i="67" s="1"/>
  <c r="H206" i="59"/>
  <c r="H362" i="59" s="1"/>
  <c r="P212" i="59"/>
  <c r="P368" i="59" s="1"/>
  <c r="L52" i="67"/>
  <c r="L91" i="67" s="1"/>
  <c r="I183" i="59"/>
  <c r="I339" i="59" s="1"/>
  <c r="I23" i="67"/>
  <c r="I62" i="67" s="1"/>
  <c r="F700" i="67"/>
  <c r="M107" i="67"/>
  <c r="M146" i="67" s="1"/>
  <c r="Q421" i="59"/>
  <c r="Q577" i="59" s="1"/>
  <c r="F701" i="67"/>
  <c r="F399" i="59"/>
  <c r="F1109" i="59"/>
  <c r="M300" i="67"/>
  <c r="M339" i="67" s="1"/>
  <c r="Q922" i="59"/>
  <c r="Q1078" i="59" s="1"/>
  <c r="I212" i="67"/>
  <c r="I251" i="67" s="1"/>
  <c r="I680" i="59"/>
  <c r="I836" i="59" s="1"/>
  <c r="F797" i="67"/>
  <c r="Q420" i="59"/>
  <c r="Q576" i="59" s="1"/>
  <c r="M106" i="67"/>
  <c r="M145" i="67" s="1"/>
  <c r="I290" i="67"/>
  <c r="I329" i="67" s="1"/>
  <c r="I912" i="59"/>
  <c r="I1068" i="59" s="1"/>
  <c r="H896" i="59"/>
  <c r="H1052" i="59" s="1"/>
  <c r="H274" i="67"/>
  <c r="H313" i="67" s="1"/>
  <c r="P662" i="59"/>
  <c r="P818" i="59" s="1"/>
  <c r="L194" i="67"/>
  <c r="L233" i="67" s="1"/>
  <c r="K1051" i="59"/>
  <c r="K1050" i="59" s="1"/>
  <c r="K894" i="59"/>
  <c r="I285" i="67"/>
  <c r="I324" i="67" s="1"/>
  <c r="I907" i="59"/>
  <c r="I1063" i="59" s="1"/>
  <c r="H192" i="67"/>
  <c r="H231" i="67" s="1"/>
  <c r="H660" i="59"/>
  <c r="H816" i="59" s="1"/>
  <c r="P674" i="59"/>
  <c r="P830" i="59" s="1"/>
  <c r="L206" i="67"/>
  <c r="L245" i="67" s="1"/>
  <c r="H54" i="67"/>
  <c r="H93" i="67" s="1"/>
  <c r="H214" i="59"/>
  <c r="H370" i="59" s="1"/>
  <c r="I658" i="59"/>
  <c r="I814" i="59" s="1"/>
  <c r="I190" i="67"/>
  <c r="I229" i="67" s="1"/>
  <c r="F139" i="54"/>
  <c r="F21" i="54" s="1"/>
  <c r="D48" i="49" s="1"/>
  <c r="R418" i="59"/>
  <c r="R575" i="59"/>
  <c r="R574" i="59" s="1"/>
  <c r="J144" i="67"/>
  <c r="J104" i="67"/>
  <c r="J143" i="67" s="1"/>
  <c r="F707" i="67"/>
  <c r="F400" i="59"/>
  <c r="F208" i="53"/>
  <c r="G427" i="59"/>
  <c r="G583" i="59" s="1"/>
  <c r="F103" i="53"/>
  <c r="G201" i="59"/>
  <c r="G357" i="59" s="1"/>
  <c r="F149" i="54"/>
  <c r="F31" i="54" s="1"/>
  <c r="D58" i="49" s="1"/>
  <c r="Q432" i="59"/>
  <c r="Q588" i="59" s="1"/>
  <c r="M118" i="67"/>
  <c r="M157" i="67" s="1"/>
  <c r="H376" i="59"/>
  <c r="H375" i="59" s="1"/>
  <c r="H219" i="59"/>
  <c r="H928" i="59"/>
  <c r="H1084" i="59" s="1"/>
  <c r="H306" i="67"/>
  <c r="H345" i="67" s="1"/>
  <c r="H920" i="59"/>
  <c r="H1076" i="59" s="1"/>
  <c r="H298" i="67"/>
  <c r="H337" i="67" s="1"/>
  <c r="H447" i="59"/>
  <c r="H603" i="59" s="1"/>
  <c r="H133" i="67"/>
  <c r="H172" i="67" s="1"/>
  <c r="O920" i="59"/>
  <c r="O1076" i="59" s="1"/>
  <c r="N459" i="53"/>
  <c r="H925" i="59"/>
  <c r="H1081" i="59" s="1"/>
  <c r="H303" i="67"/>
  <c r="H342" i="67" s="1"/>
  <c r="O438" i="59"/>
  <c r="O594" i="59" s="1"/>
  <c r="N219" i="53"/>
  <c r="I208" i="67"/>
  <c r="I247" i="67" s="1"/>
  <c r="I676" i="59"/>
  <c r="I832" i="59" s="1"/>
  <c r="F647" i="59"/>
  <c r="F395" i="59"/>
  <c r="I189" i="59"/>
  <c r="I345" i="59" s="1"/>
  <c r="I29" i="67"/>
  <c r="I68" i="67" s="1"/>
  <c r="Q214" i="59"/>
  <c r="Q370" i="59" s="1"/>
  <c r="M54" i="67"/>
  <c r="M93" i="67" s="1"/>
  <c r="N83" i="53"/>
  <c r="O181" i="59"/>
  <c r="H217" i="67"/>
  <c r="H256" i="67" s="1"/>
  <c r="H685" i="59"/>
  <c r="H841" i="59" s="1"/>
  <c r="F871" i="59"/>
  <c r="H126" i="67"/>
  <c r="H165" i="67" s="1"/>
  <c r="H440" i="59"/>
  <c r="H596" i="59" s="1"/>
  <c r="F465" i="53"/>
  <c r="G926" i="59"/>
  <c r="G1082" i="59" s="1"/>
  <c r="Q660" i="59"/>
  <c r="Q816" i="59" s="1"/>
  <c r="M192" i="67"/>
  <c r="M231" i="67" s="1"/>
  <c r="L305" i="67"/>
  <c r="L344" i="67" s="1"/>
  <c r="P927" i="59"/>
  <c r="P1083" i="59" s="1"/>
  <c r="M297" i="67"/>
  <c r="M336" i="67" s="1"/>
  <c r="Q919" i="59"/>
  <c r="Q1075" i="59" s="1"/>
  <c r="M207" i="67"/>
  <c r="M246" i="67" s="1"/>
  <c r="Q675" i="59"/>
  <c r="Q831" i="59" s="1"/>
  <c r="F331" i="53"/>
  <c r="G671" i="59"/>
  <c r="G827" i="59" s="1"/>
  <c r="I196" i="67"/>
  <c r="I235" i="67" s="1"/>
  <c r="I664" i="59"/>
  <c r="I820" i="59" s="1"/>
  <c r="F469" i="54"/>
  <c r="F351" i="54" s="1"/>
  <c r="D146" i="49" s="1"/>
  <c r="M279" i="67"/>
  <c r="M318" i="67" s="1"/>
  <c r="Q901" i="59"/>
  <c r="Q1057" i="59" s="1"/>
  <c r="Q448" i="59"/>
  <c r="Q604" i="59" s="1"/>
  <c r="M134" i="67"/>
  <c r="M173" i="67" s="1"/>
  <c r="O443" i="59"/>
  <c r="O599" i="59" s="1"/>
  <c r="N224" i="53"/>
  <c r="H657" i="59"/>
  <c r="H189" i="67"/>
  <c r="S575" i="59"/>
  <c r="S574" i="59" s="1"/>
  <c r="S418" i="59"/>
  <c r="P202" i="59"/>
  <c r="P358" i="59" s="1"/>
  <c r="L42" i="67"/>
  <c r="L81" i="67" s="1"/>
  <c r="I117" i="67"/>
  <c r="I156" i="67" s="1"/>
  <c r="I431" i="59"/>
  <c r="I587" i="59" s="1"/>
  <c r="I48" i="67"/>
  <c r="I87" i="67" s="1"/>
  <c r="I208" i="59"/>
  <c r="I364" i="59" s="1"/>
  <c r="H452" i="59"/>
  <c r="H608" i="59" s="1"/>
  <c r="H138" i="67"/>
  <c r="H177" i="67" s="1"/>
  <c r="O682" i="59"/>
  <c r="O838" i="59" s="1"/>
  <c r="N342" i="53"/>
  <c r="I204" i="67"/>
  <c r="I243" i="67" s="1"/>
  <c r="I672" i="59"/>
  <c r="I828" i="59" s="1"/>
  <c r="F851" i="67"/>
  <c r="F468" i="53"/>
  <c r="G929" i="59"/>
  <c r="G1085" i="59" s="1"/>
  <c r="G448" i="59"/>
  <c r="G604" i="59" s="1"/>
  <c r="F229" i="53"/>
  <c r="P678" i="59"/>
  <c r="P834" i="59" s="1"/>
  <c r="L210" i="67"/>
  <c r="L249" i="67" s="1"/>
  <c r="G904" i="59"/>
  <c r="G1060" i="59" s="1"/>
  <c r="F443" i="53"/>
  <c r="O905" i="59"/>
  <c r="O1061" i="59" s="1"/>
  <c r="N444" i="53"/>
  <c r="H678" i="59"/>
  <c r="H834" i="59" s="1"/>
  <c r="H210" i="67"/>
  <c r="H249" i="67" s="1"/>
  <c r="N445" i="53"/>
  <c r="O906" i="59"/>
  <c r="O1062" i="59" s="1"/>
  <c r="M205" i="67"/>
  <c r="M244" i="67" s="1"/>
  <c r="Q673" i="59"/>
  <c r="Q829" i="59" s="1"/>
  <c r="K813" i="59"/>
  <c r="K812" i="59" s="1"/>
  <c r="K656" i="59"/>
  <c r="H125" i="67"/>
  <c r="H164" i="67" s="1"/>
  <c r="H439" i="59"/>
  <c r="H595" i="59" s="1"/>
  <c r="Q208" i="59"/>
  <c r="Q364" i="59" s="1"/>
  <c r="M48" i="67"/>
  <c r="M87" i="67" s="1"/>
  <c r="G215" i="59"/>
  <c r="G371" i="59" s="1"/>
  <c r="F117" i="53"/>
  <c r="Q211" i="59"/>
  <c r="Q367" i="59" s="1"/>
  <c r="M51" i="67"/>
  <c r="M90" i="67" s="1"/>
  <c r="G916" i="59"/>
  <c r="G1072" i="59" s="1"/>
  <c r="F455" i="53"/>
  <c r="F169" i="54"/>
  <c r="F51" i="54" s="1"/>
  <c r="D78" i="49" s="1"/>
  <c r="P921" i="59"/>
  <c r="P1077" i="59" s="1"/>
  <c r="L299" i="67"/>
  <c r="L338" i="67" s="1"/>
  <c r="R813" i="59"/>
  <c r="R812" i="59" s="1"/>
  <c r="R656" i="59"/>
  <c r="O914" i="59"/>
  <c r="O1070" i="59" s="1"/>
  <c r="N453" i="53"/>
  <c r="M285" i="67"/>
  <c r="M324" i="67" s="1"/>
  <c r="Q907" i="59"/>
  <c r="Q1063" i="59" s="1"/>
  <c r="F448" i="53"/>
  <c r="G909" i="59"/>
  <c r="G1065" i="59" s="1"/>
  <c r="P431" i="59"/>
  <c r="P587" i="59" s="1"/>
  <c r="L117" i="67"/>
  <c r="L156" i="67" s="1"/>
  <c r="P672" i="59"/>
  <c r="P828" i="59" s="1"/>
  <c r="L204" i="67"/>
  <c r="L243" i="67" s="1"/>
  <c r="F317" i="54"/>
  <c r="F199" i="54" s="1"/>
  <c r="D110" i="49" s="1"/>
  <c r="K110" i="49" s="1"/>
  <c r="F315" i="54"/>
  <c r="F197" i="54" s="1"/>
  <c r="D108" i="49" s="1"/>
  <c r="K108" i="49" s="1"/>
  <c r="G432" i="59"/>
  <c r="G588" i="59" s="1"/>
  <c r="F213" i="53"/>
  <c r="F698" i="67"/>
  <c r="N210" i="53"/>
  <c r="O429" i="59"/>
  <c r="O585" i="59" s="1"/>
  <c r="I109" i="67"/>
  <c r="I148" i="67" s="1"/>
  <c r="I423" i="59"/>
  <c r="I579" i="59" s="1"/>
  <c r="H45" i="67"/>
  <c r="H84" i="67" s="1"/>
  <c r="H205" i="59"/>
  <c r="H361" i="59" s="1"/>
  <c r="F706" i="67"/>
  <c r="L289" i="67"/>
  <c r="L328" i="67" s="1"/>
  <c r="P911" i="59"/>
  <c r="P1067" i="59" s="1"/>
  <c r="Q657" i="59"/>
  <c r="M189" i="67"/>
  <c r="F217" i="53"/>
  <c r="G436" i="59"/>
  <c r="G592" i="59" s="1"/>
  <c r="F452" i="53"/>
  <c r="G913" i="59"/>
  <c r="G1069" i="59" s="1"/>
  <c r="K1090" i="59"/>
  <c r="K1089" i="59" s="1"/>
  <c r="K933" i="59"/>
  <c r="Q913" i="59"/>
  <c r="Q1069" i="59" s="1"/>
  <c r="M291" i="67"/>
  <c r="M330" i="67" s="1"/>
  <c r="F1116" i="59"/>
  <c r="I437" i="59"/>
  <c r="I593" i="59" s="1"/>
  <c r="I123" i="67"/>
  <c r="I162" i="67" s="1"/>
  <c r="M813" i="59"/>
  <c r="M812" i="59" s="1"/>
  <c r="M656" i="59"/>
  <c r="F796" i="67"/>
  <c r="F458" i="54"/>
  <c r="F340" i="54" s="1"/>
  <c r="D135" i="49" s="1"/>
  <c r="L135" i="67"/>
  <c r="L174" i="67" s="1"/>
  <c r="P449" i="59"/>
  <c r="P605" i="59" s="1"/>
  <c r="O440" i="59"/>
  <c r="O596" i="59" s="1"/>
  <c r="N221" i="53"/>
  <c r="G428" i="59"/>
  <c r="G584" i="59" s="1"/>
  <c r="F209" i="53"/>
  <c r="H194" i="59"/>
  <c r="H350" i="59" s="1"/>
  <c r="H34" i="67"/>
  <c r="H73" i="67" s="1"/>
  <c r="H182" i="59"/>
  <c r="H338" i="59" s="1"/>
  <c r="H22" i="67"/>
  <c r="H61" i="67" s="1"/>
  <c r="O186" i="59"/>
  <c r="O342" i="59" s="1"/>
  <c r="N88" i="53"/>
  <c r="L53" i="67"/>
  <c r="L92" i="67" s="1"/>
  <c r="P213" i="59"/>
  <c r="P369" i="59" s="1"/>
  <c r="F101" i="53"/>
  <c r="G199" i="59"/>
  <c r="G355" i="59" s="1"/>
  <c r="I614" i="59"/>
  <c r="I613" i="59" s="1"/>
  <c r="I457" i="59"/>
  <c r="K614" i="59"/>
  <c r="K613" i="59" s="1"/>
  <c r="K457" i="59"/>
  <c r="H609" i="54"/>
  <c r="F610" i="54"/>
  <c r="P684" i="59"/>
  <c r="P840" i="59" s="1"/>
  <c r="L216" i="67"/>
  <c r="L255" i="67" s="1"/>
  <c r="I923" i="59"/>
  <c r="I1079" i="59" s="1"/>
  <c r="I301" i="67"/>
  <c r="I340" i="67" s="1"/>
  <c r="F1104" i="59"/>
  <c r="F642" i="54"/>
  <c r="F524" i="54" s="1"/>
  <c r="D203" i="49" s="1"/>
  <c r="K203" i="49" s="1"/>
  <c r="H852" i="59"/>
  <c r="H851" i="59" s="1"/>
  <c r="H695" i="59"/>
  <c r="L275" i="67"/>
  <c r="L314" i="67" s="1"/>
  <c r="P897" i="59"/>
  <c r="P1053" i="59" s="1"/>
  <c r="F467" i="54"/>
  <c r="F349" i="54" s="1"/>
  <c r="D144" i="49" s="1"/>
  <c r="F222" i="53"/>
  <c r="G441" i="59"/>
  <c r="G597" i="59" s="1"/>
  <c r="F786" i="67"/>
  <c r="G198" i="59"/>
  <c r="G354" i="59" s="1"/>
  <c r="F100" i="53"/>
  <c r="F744" i="67"/>
  <c r="H422" i="59"/>
  <c r="H578" i="59" s="1"/>
  <c r="H108" i="67"/>
  <c r="H147" i="67" s="1"/>
  <c r="Q183" i="59"/>
  <c r="Q339" i="59" s="1"/>
  <c r="M23" i="67"/>
  <c r="M62" i="67" s="1"/>
  <c r="I190" i="59"/>
  <c r="I346" i="59" s="1"/>
  <c r="I30" i="67"/>
  <c r="I69" i="67" s="1"/>
  <c r="F378" i="59"/>
  <c r="M37" i="67"/>
  <c r="M76" i="67" s="1"/>
  <c r="Q197" i="59"/>
  <c r="Q353" i="59" s="1"/>
  <c r="F747" i="67"/>
  <c r="L286" i="67"/>
  <c r="L325" i="67" s="1"/>
  <c r="P908" i="59"/>
  <c r="P1064" i="59" s="1"/>
  <c r="O912" i="59"/>
  <c r="O1068" i="59" s="1"/>
  <c r="N451" i="53"/>
  <c r="M295" i="67"/>
  <c r="M334" i="67" s="1"/>
  <c r="Q917" i="59"/>
  <c r="Q1073" i="59" s="1"/>
  <c r="F640" i="54"/>
  <c r="F522" i="54" s="1"/>
  <c r="D201" i="49" s="1"/>
  <c r="K201" i="49" s="1"/>
  <c r="I219" i="67"/>
  <c r="I258" i="67" s="1"/>
  <c r="I687" i="59"/>
  <c r="I843" i="59" s="1"/>
  <c r="N337" i="53"/>
  <c r="O677" i="59"/>
  <c r="O833" i="59" s="1"/>
  <c r="F330" i="53"/>
  <c r="G670" i="59"/>
  <c r="G826" i="59" s="1"/>
  <c r="Q435" i="59"/>
  <c r="Q591" i="59" s="1"/>
  <c r="M121" i="67"/>
  <c r="M160" i="67" s="1"/>
  <c r="F1099" i="59"/>
  <c r="F798" i="67"/>
  <c r="N350" i="53"/>
  <c r="O690" i="59"/>
  <c r="O846" i="59" s="1"/>
  <c r="N462" i="53"/>
  <c r="O923" i="59"/>
  <c r="O1079" i="59" s="1"/>
  <c r="I214" i="67"/>
  <c r="I253" i="67" s="1"/>
  <c r="I682" i="59"/>
  <c r="I838" i="59" s="1"/>
  <c r="I286" i="67"/>
  <c r="I325" i="67" s="1"/>
  <c r="I908" i="59"/>
  <c r="I1064" i="59" s="1"/>
  <c r="H442" i="59"/>
  <c r="H598" i="59" s="1"/>
  <c r="H128" i="67"/>
  <c r="H167" i="67" s="1"/>
  <c r="F214" i="53"/>
  <c r="G433" i="59"/>
  <c r="G589" i="59" s="1"/>
  <c r="L198" i="67"/>
  <c r="L237" i="67" s="1"/>
  <c r="P666" i="59"/>
  <c r="P822" i="59" s="1"/>
  <c r="M138" i="67"/>
  <c r="M177" i="67" s="1"/>
  <c r="Q452" i="59"/>
  <c r="Q608" i="59" s="1"/>
  <c r="H186" i="59"/>
  <c r="H342" i="59" s="1"/>
  <c r="H26" i="67"/>
  <c r="H65" i="67" s="1"/>
  <c r="F755" i="67"/>
  <c r="F108" i="53"/>
  <c r="G206" i="59"/>
  <c r="G362" i="59" s="1"/>
  <c r="Q212" i="59"/>
  <c r="Q368" i="59" s="1"/>
  <c r="M52" i="67"/>
  <c r="M91" i="67" s="1"/>
  <c r="L46" i="67"/>
  <c r="L85" i="67" s="1"/>
  <c r="P206" i="59"/>
  <c r="P362" i="59" s="1"/>
  <c r="H31" i="67"/>
  <c r="H70" i="67" s="1"/>
  <c r="H191" i="59"/>
  <c r="H347" i="59" s="1"/>
  <c r="F396" i="59"/>
  <c r="L300" i="67"/>
  <c r="L339" i="67" s="1"/>
  <c r="P922" i="59"/>
  <c r="P1078" i="59" s="1"/>
  <c r="H212" i="67"/>
  <c r="H251" i="67" s="1"/>
  <c r="H680" i="59"/>
  <c r="H836" i="59" s="1"/>
  <c r="G912" i="59"/>
  <c r="G1068" i="59" s="1"/>
  <c r="F451" i="53"/>
  <c r="I896" i="59"/>
  <c r="I1052" i="59" s="1"/>
  <c r="I274" i="67"/>
  <c r="I313" i="67" s="1"/>
  <c r="Q662" i="59"/>
  <c r="Q818" i="59" s="1"/>
  <c r="M194" i="67"/>
  <c r="M233" i="67" s="1"/>
  <c r="J827" i="67"/>
  <c r="F828" i="67"/>
  <c r="F844" i="67"/>
  <c r="F320" i="53"/>
  <c r="G660" i="59"/>
  <c r="G816" i="59" s="1"/>
  <c r="P446" i="59"/>
  <c r="P602" i="59" s="1"/>
  <c r="L132" i="67"/>
  <c r="L171" i="67" s="1"/>
  <c r="O674" i="59"/>
  <c r="O830" i="59" s="1"/>
  <c r="N334" i="53"/>
  <c r="I54" i="67"/>
  <c r="I93" i="67" s="1"/>
  <c r="I214" i="59"/>
  <c r="I370" i="59" s="1"/>
  <c r="H190" i="67"/>
  <c r="H229" i="67" s="1"/>
  <c r="H658" i="59"/>
  <c r="H814" i="59" s="1"/>
  <c r="F857" i="59"/>
  <c r="I111" i="67"/>
  <c r="I150" i="67" s="1"/>
  <c r="I425" i="59"/>
  <c r="I581" i="59" s="1"/>
  <c r="N144" i="67"/>
  <c r="N104" i="67"/>
  <c r="N143" i="67" s="1"/>
  <c r="J418" i="59"/>
  <c r="J575" i="59"/>
  <c r="J574" i="59" s="1"/>
  <c r="H113" i="67"/>
  <c r="H152" i="67" s="1"/>
  <c r="H427" i="59"/>
  <c r="H583" i="59" s="1"/>
  <c r="F159" i="54"/>
  <c r="F41" i="54" s="1"/>
  <c r="D68" i="49" s="1"/>
  <c r="N376" i="59"/>
  <c r="N375" i="59" s="1"/>
  <c r="N219" i="59"/>
  <c r="I298" i="67"/>
  <c r="I337" i="67" s="1"/>
  <c r="I920" i="59"/>
  <c r="I1076" i="59" s="1"/>
  <c r="F1112" i="59"/>
  <c r="F228" i="53"/>
  <c r="G447" i="59"/>
  <c r="G603" i="59" s="1"/>
  <c r="F855" i="59"/>
  <c r="P669" i="59"/>
  <c r="P825" i="59" s="1"/>
  <c r="L201" i="67"/>
  <c r="L240" i="67" s="1"/>
  <c r="F1100" i="59"/>
  <c r="F875" i="59"/>
  <c r="F464" i="53"/>
  <c r="G925" i="59"/>
  <c r="G1081" i="59" s="1"/>
  <c r="Q438" i="59"/>
  <c r="Q594" i="59" s="1"/>
  <c r="M124" i="67"/>
  <c r="M163" i="67" s="1"/>
  <c r="F867" i="59"/>
  <c r="F334" i="53"/>
  <c r="G674" i="59"/>
  <c r="G830" i="59" s="1"/>
  <c r="H424" i="59"/>
  <c r="H580" i="59" s="1"/>
  <c r="H110" i="67"/>
  <c r="H149" i="67" s="1"/>
  <c r="I430" i="59"/>
  <c r="I586" i="59" s="1"/>
  <c r="I116" i="67"/>
  <c r="I155" i="67" s="1"/>
  <c r="F393" i="59"/>
  <c r="I112" i="67"/>
  <c r="I151" i="67" s="1"/>
  <c r="I426" i="59"/>
  <c r="I582" i="59" s="1"/>
  <c r="M50" i="67"/>
  <c r="M89" i="67" s="1"/>
  <c r="Q210" i="59"/>
  <c r="Q366" i="59" s="1"/>
  <c r="L54" i="67"/>
  <c r="L93" i="67" s="1"/>
  <c r="P214" i="59"/>
  <c r="P370" i="59" s="1"/>
  <c r="I126" i="67"/>
  <c r="I165" i="67" s="1"/>
  <c r="I440" i="59"/>
  <c r="I596" i="59" s="1"/>
  <c r="I304" i="67"/>
  <c r="I343" i="67" s="1"/>
  <c r="I926" i="59"/>
  <c r="I1082" i="59" s="1"/>
  <c r="F627" i="59"/>
  <c r="M305" i="67"/>
  <c r="M344" i="67" s="1"/>
  <c r="Q927" i="59"/>
  <c r="Q1083" i="59" s="1"/>
  <c r="L297" i="67"/>
  <c r="L336" i="67" s="1"/>
  <c r="P919" i="59"/>
  <c r="P1075" i="59" s="1"/>
  <c r="Q439" i="59"/>
  <c r="Q595" i="59" s="1"/>
  <c r="M125" i="67"/>
  <c r="M164" i="67" s="1"/>
  <c r="Q899" i="59"/>
  <c r="Q1055" i="59" s="1"/>
  <c r="M277" i="67"/>
  <c r="M316" i="67" s="1"/>
  <c r="G664" i="59"/>
  <c r="G820" i="59" s="1"/>
  <c r="F324" i="53"/>
  <c r="L279" i="67"/>
  <c r="L318" i="67" s="1"/>
  <c r="P901" i="59"/>
  <c r="P1057" i="59" s="1"/>
  <c r="F1097" i="59"/>
  <c r="O448" i="59"/>
  <c r="O604" i="59" s="1"/>
  <c r="N229" i="53"/>
  <c r="L47" i="67"/>
  <c r="L86" i="67" s="1"/>
  <c r="P207" i="59"/>
  <c r="P363" i="59" s="1"/>
  <c r="L129" i="67"/>
  <c r="L168" i="67" s="1"/>
  <c r="P443" i="59"/>
  <c r="P599" i="59" s="1"/>
  <c r="I657" i="59"/>
  <c r="I189" i="67"/>
  <c r="G420" i="59"/>
  <c r="G576" i="59" s="1"/>
  <c r="F201" i="53"/>
  <c r="P203" i="59"/>
  <c r="P359" i="59" s="1"/>
  <c r="L43" i="67"/>
  <c r="L82" i="67" s="1"/>
  <c r="H208" i="59"/>
  <c r="H364" i="59" s="1"/>
  <c r="H48" i="67"/>
  <c r="H87" i="67" s="1"/>
  <c r="F332" i="53"/>
  <c r="G672" i="59"/>
  <c r="G828" i="59" s="1"/>
  <c r="F1096" i="59"/>
  <c r="N272" i="67"/>
  <c r="N311" i="67" s="1"/>
  <c r="N312" i="67"/>
  <c r="N338" i="53"/>
  <c r="O678" i="59"/>
  <c r="O834" i="59" s="1"/>
  <c r="N435" i="53"/>
  <c r="O896" i="59"/>
  <c r="O1052" i="59" s="1"/>
  <c r="L283" i="67"/>
  <c r="L322" i="67" s="1"/>
  <c r="P905" i="59"/>
  <c r="P1061" i="59" s="1"/>
  <c r="F1092" i="59"/>
  <c r="I690" i="59"/>
  <c r="I846" i="59" s="1"/>
  <c r="I222" i="67"/>
  <c r="I261" i="67" s="1"/>
  <c r="L205" i="67"/>
  <c r="L244" i="67" s="1"/>
  <c r="P673" i="59"/>
  <c r="P829" i="59" s="1"/>
  <c r="F1093" i="59"/>
  <c r="F642" i="59"/>
  <c r="F95" i="53"/>
  <c r="G193" i="59"/>
  <c r="G349" i="59" s="1"/>
  <c r="G439" i="59"/>
  <c r="G595" i="59" s="1"/>
  <c r="F220" i="53"/>
  <c r="F380" i="59"/>
  <c r="H684" i="59"/>
  <c r="H840" i="59" s="1"/>
  <c r="H216" i="67"/>
  <c r="H255" i="67" s="1"/>
  <c r="Q921" i="59"/>
  <c r="Q1077" i="59" s="1"/>
  <c r="M299" i="67"/>
  <c r="M338" i="67" s="1"/>
  <c r="I906" i="59"/>
  <c r="I1062" i="59" s="1"/>
  <c r="I284" i="67"/>
  <c r="I323" i="67" s="1"/>
  <c r="N228" i="67"/>
  <c r="N188" i="67"/>
  <c r="N227" i="67" s="1"/>
  <c r="F1114" i="59"/>
  <c r="F814" i="67"/>
  <c r="F341" i="53"/>
  <c r="G681" i="59"/>
  <c r="G837" i="59" s="1"/>
  <c r="N446" i="53"/>
  <c r="O907" i="59"/>
  <c r="O1063" i="59" s="1"/>
  <c r="H287" i="67"/>
  <c r="H326" i="67" s="1"/>
  <c r="H909" i="59"/>
  <c r="H1065" i="59" s="1"/>
  <c r="Q689" i="59"/>
  <c r="Q845" i="59" s="1"/>
  <c r="M221" i="67"/>
  <c r="M260" i="67" s="1"/>
  <c r="H223" i="67"/>
  <c r="H262" i="67" s="1"/>
  <c r="H691" i="59"/>
  <c r="H847" i="59" s="1"/>
  <c r="K145" i="49"/>
  <c r="F643" i="59"/>
  <c r="H198" i="67"/>
  <c r="H237" i="67" s="1"/>
  <c r="H666" i="59"/>
  <c r="H822" i="59" s="1"/>
  <c r="Q672" i="59"/>
  <c r="Q828" i="59" s="1"/>
  <c r="M204" i="67"/>
  <c r="M243" i="67" s="1"/>
  <c r="N225" i="53"/>
  <c r="O444" i="59"/>
  <c r="O600" i="59" s="1"/>
  <c r="Q204" i="59"/>
  <c r="Q360" i="59" s="1"/>
  <c r="M44" i="67"/>
  <c r="M83" i="67" s="1"/>
  <c r="I118" i="67"/>
  <c r="I157" i="67" s="1"/>
  <c r="I432" i="59"/>
  <c r="I588" i="59" s="1"/>
  <c r="M115" i="67"/>
  <c r="M154" i="67" s="1"/>
  <c r="Q429" i="59"/>
  <c r="Q585" i="59" s="1"/>
  <c r="F387" i="59"/>
  <c r="F381" i="59"/>
  <c r="F204" i="53"/>
  <c r="G423" i="59"/>
  <c r="G579" i="59" s="1"/>
  <c r="I45" i="67"/>
  <c r="I84" i="67" s="1"/>
  <c r="I205" i="59"/>
  <c r="I361" i="59" s="1"/>
  <c r="K139" i="49"/>
  <c r="N450" i="53"/>
  <c r="O911" i="59"/>
  <c r="O1067" i="59" s="1"/>
  <c r="O657" i="59"/>
  <c r="N317" i="53"/>
  <c r="N443" i="53"/>
  <c r="O904" i="59"/>
  <c r="O1060" i="59" s="1"/>
  <c r="L202" i="67"/>
  <c r="L241" i="67" s="1"/>
  <c r="P670" i="59"/>
  <c r="P826" i="59" s="1"/>
  <c r="L1090" i="59"/>
  <c r="L1089" i="59" s="1"/>
  <c r="L933" i="59"/>
  <c r="O913" i="59"/>
  <c r="O1069" i="59" s="1"/>
  <c r="N452" i="53"/>
  <c r="H123" i="67"/>
  <c r="H162" i="67" s="1"/>
  <c r="H437" i="59"/>
  <c r="H593" i="59" s="1"/>
  <c r="H451" i="54"/>
  <c r="F452" i="54"/>
  <c r="F644" i="59"/>
  <c r="M135" i="67"/>
  <c r="M174" i="67" s="1"/>
  <c r="Q449" i="59"/>
  <c r="Q605" i="59" s="1"/>
  <c r="F720" i="67"/>
  <c r="L26" i="67"/>
  <c r="L65" i="67" s="1"/>
  <c r="P186" i="59"/>
  <c r="P342" i="59" s="1"/>
  <c r="O213" i="59"/>
  <c r="O369" i="59" s="1"/>
  <c r="N115" i="53"/>
  <c r="F407" i="59"/>
  <c r="I39" i="67"/>
  <c r="I78" i="67" s="1"/>
  <c r="I199" i="59"/>
  <c r="I355" i="59" s="1"/>
  <c r="M27" i="67"/>
  <c r="M66" i="67" s="1"/>
  <c r="Q187" i="59"/>
  <c r="Q343" i="59" s="1"/>
  <c r="J614" i="59"/>
  <c r="J613" i="59" s="1"/>
  <c r="J457" i="59"/>
  <c r="F854" i="59"/>
  <c r="N457" i="53"/>
  <c r="O918" i="59"/>
  <c r="O1074" i="59" s="1"/>
  <c r="F1111" i="59"/>
  <c r="M216" i="67"/>
  <c r="M255" i="67" s="1"/>
  <c r="Q684" i="59"/>
  <c r="Q840" i="59" s="1"/>
  <c r="F873" i="59"/>
  <c r="M211" i="67"/>
  <c r="M250" i="67" s="1"/>
  <c r="Q679" i="59"/>
  <c r="Q835" i="59" s="1"/>
  <c r="J852" i="59"/>
  <c r="J851" i="59" s="1"/>
  <c r="J695" i="59"/>
  <c r="O897" i="59"/>
  <c r="O1053" i="59" s="1"/>
  <c r="N436" i="53"/>
  <c r="K158" i="49"/>
  <c r="F628" i="54"/>
  <c r="F510" i="54" s="1"/>
  <c r="D189" i="49" s="1"/>
  <c r="K189" i="49" s="1"/>
  <c r="I441" i="59"/>
  <c r="I597" i="59" s="1"/>
  <c r="I127" i="67"/>
  <c r="I166" i="67" s="1"/>
  <c r="O451" i="59"/>
  <c r="O607" i="59" s="1"/>
  <c r="N232" i="53"/>
  <c r="H198" i="59"/>
  <c r="H354" i="59" s="1"/>
  <c r="H38" i="67"/>
  <c r="H77" i="67" s="1"/>
  <c r="H185" i="59"/>
  <c r="H341" i="59" s="1"/>
  <c r="H25" i="67"/>
  <c r="H64" i="67" s="1"/>
  <c r="G187" i="59"/>
  <c r="G343" i="59" s="1"/>
  <c r="F89" i="53"/>
  <c r="N85" i="53"/>
  <c r="O183" i="59"/>
  <c r="O339" i="59" s="1"/>
  <c r="F92" i="53"/>
  <c r="G190" i="59"/>
  <c r="G346" i="59" s="1"/>
  <c r="I50" i="67"/>
  <c r="I89" i="67" s="1"/>
  <c r="I210" i="59"/>
  <c r="I366" i="59" s="1"/>
  <c r="N99" i="53"/>
  <c r="O197" i="59"/>
  <c r="O353" i="59" s="1"/>
  <c r="F461" i="54"/>
  <c r="F343" i="54" s="1"/>
  <c r="D138" i="49" s="1"/>
  <c r="M286" i="67"/>
  <c r="M325" i="67" s="1"/>
  <c r="Q908" i="59"/>
  <c r="Q1064" i="59" s="1"/>
  <c r="L290" i="67"/>
  <c r="L329" i="67" s="1"/>
  <c r="P912" i="59"/>
  <c r="P1068" i="59" s="1"/>
  <c r="H302" i="67"/>
  <c r="H341" i="67" s="1"/>
  <c r="H924" i="59"/>
  <c r="H1080" i="59" s="1"/>
  <c r="M208" i="67"/>
  <c r="M247" i="67" s="1"/>
  <c r="Q676" i="59"/>
  <c r="Q832" i="59" s="1"/>
  <c r="L209" i="67"/>
  <c r="L248" i="67" s="1"/>
  <c r="P677" i="59"/>
  <c r="P833" i="59" s="1"/>
  <c r="P668" i="59"/>
  <c r="P824" i="59" s="1"/>
  <c r="L200" i="67"/>
  <c r="L239" i="67" s="1"/>
  <c r="I670" i="59"/>
  <c r="I826" i="59" s="1"/>
  <c r="I202" i="67"/>
  <c r="I241" i="67" s="1"/>
  <c r="I905" i="59"/>
  <c r="I1061" i="59" s="1"/>
  <c r="I283" i="67"/>
  <c r="I322" i="67" s="1"/>
  <c r="F440" i="53"/>
  <c r="G901" i="59"/>
  <c r="G1057" i="59" s="1"/>
  <c r="M293" i="67"/>
  <c r="M332" i="67" s="1"/>
  <c r="Q915" i="59"/>
  <c r="Q1071" i="59" s="1"/>
  <c r="L301" i="67"/>
  <c r="L340" i="67" s="1"/>
  <c r="P923" i="59"/>
  <c r="P1079" i="59" s="1"/>
  <c r="G682" i="59"/>
  <c r="G838" i="59" s="1"/>
  <c r="F342" i="53"/>
  <c r="H278" i="67"/>
  <c r="H317" i="67" s="1"/>
  <c r="H900" i="59"/>
  <c r="H1056" i="59" s="1"/>
  <c r="F447" i="53"/>
  <c r="G908" i="59"/>
  <c r="G1064" i="59" s="1"/>
  <c r="I433" i="59"/>
  <c r="I589" i="59" s="1"/>
  <c r="I119" i="67"/>
  <c r="I158" i="67" s="1"/>
  <c r="N326" i="53"/>
  <c r="O666" i="59"/>
  <c r="O822" i="59" s="1"/>
  <c r="F166" i="54"/>
  <c r="F48" i="54" s="1"/>
  <c r="D75" i="49" s="1"/>
  <c r="G186" i="59"/>
  <c r="G342" i="59" s="1"/>
  <c r="F88" i="53"/>
  <c r="O437" i="59"/>
  <c r="O593" i="59" s="1"/>
  <c r="N218" i="53"/>
  <c r="I46" i="67"/>
  <c r="I85" i="67" s="1"/>
  <c r="I206" i="59"/>
  <c r="I362" i="59" s="1"/>
  <c r="O212" i="59"/>
  <c r="O368" i="59" s="1"/>
  <c r="N114" i="53"/>
  <c r="O206" i="59"/>
  <c r="O362" i="59" s="1"/>
  <c r="N108" i="53"/>
  <c r="F93" i="53"/>
  <c r="G191" i="59"/>
  <c r="G347" i="59" s="1"/>
  <c r="F151" i="54"/>
  <c r="F33" i="54" s="1"/>
  <c r="D60" i="49" s="1"/>
  <c r="G204" i="59"/>
  <c r="G360" i="59" s="1"/>
  <c r="F106" i="53"/>
  <c r="L33" i="67"/>
  <c r="L72" i="67" s="1"/>
  <c r="P193" i="59"/>
  <c r="P349" i="59" s="1"/>
  <c r="F312" i="54"/>
  <c r="F194" i="54" s="1"/>
  <c r="D105" i="49" s="1"/>
  <c r="F486" i="54"/>
  <c r="F368" i="54" s="1"/>
  <c r="D163" i="49" s="1"/>
  <c r="F840" i="67"/>
  <c r="N461" i="53"/>
  <c r="O922" i="59"/>
  <c r="O1078" i="59" s="1"/>
  <c r="O903" i="59"/>
  <c r="O1059" i="59" s="1"/>
  <c r="N442" i="53"/>
  <c r="F1120" i="59"/>
  <c r="F1113" i="59"/>
  <c r="F641" i="59"/>
  <c r="F435" i="53"/>
  <c r="G896" i="59"/>
  <c r="G1052" i="59" s="1"/>
  <c r="M105" i="67"/>
  <c r="Q419" i="59"/>
  <c r="G917" i="59"/>
  <c r="G1073" i="59" s="1"/>
  <c r="F456" i="53"/>
  <c r="I660" i="59"/>
  <c r="I816" i="59" s="1"/>
  <c r="I192" i="67"/>
  <c r="I231" i="67" s="1"/>
  <c r="O446" i="59"/>
  <c r="O602" i="59" s="1"/>
  <c r="N227" i="53"/>
  <c r="M206" i="67"/>
  <c r="M245" i="67" s="1"/>
  <c r="Q674" i="59"/>
  <c r="Q830" i="59" s="1"/>
  <c r="F116" i="53"/>
  <c r="G214" i="59"/>
  <c r="G370" i="59" s="1"/>
  <c r="H425" i="59"/>
  <c r="H581" i="59" s="1"/>
  <c r="H111" i="67"/>
  <c r="H150" i="67" s="1"/>
  <c r="I137" i="67"/>
  <c r="I176" i="67" s="1"/>
  <c r="I451" i="59"/>
  <c r="I607" i="59" s="1"/>
  <c r="F619" i="59"/>
  <c r="I113" i="67"/>
  <c r="I152" i="67" s="1"/>
  <c r="I427" i="59"/>
  <c r="I583" i="59" s="1"/>
  <c r="L41" i="67"/>
  <c r="L80" i="67" s="1"/>
  <c r="P201" i="59"/>
  <c r="P357" i="59" s="1"/>
  <c r="J376" i="59"/>
  <c r="J375" i="59" s="1"/>
  <c r="J219" i="59"/>
  <c r="F459" i="53"/>
  <c r="G920" i="59"/>
  <c r="G1076" i="59" s="1"/>
  <c r="P910" i="59"/>
  <c r="P1066" i="59" s="1"/>
  <c r="L288" i="67"/>
  <c r="L327" i="67" s="1"/>
  <c r="P659" i="59"/>
  <c r="P815" i="59" s="1"/>
  <c r="L191" i="67"/>
  <c r="L230" i="67" s="1"/>
  <c r="Q669" i="59"/>
  <c r="Q825" i="59" s="1"/>
  <c r="M201" i="67"/>
  <c r="M240" i="67" s="1"/>
  <c r="I925" i="59"/>
  <c r="I1081" i="59" s="1"/>
  <c r="I303" i="67"/>
  <c r="I342" i="67" s="1"/>
  <c r="L212" i="67"/>
  <c r="L251" i="67" s="1"/>
  <c r="P680" i="59"/>
  <c r="P836" i="59" s="1"/>
  <c r="H674" i="59"/>
  <c r="H830" i="59" s="1"/>
  <c r="H206" i="67"/>
  <c r="H245" i="67" s="1"/>
  <c r="I110" i="67"/>
  <c r="I149" i="67" s="1"/>
  <c r="I424" i="59"/>
  <c r="I580" i="59" s="1"/>
  <c r="J135" i="54"/>
  <c r="M45" i="67"/>
  <c r="M84" i="67" s="1"/>
  <c r="Q205" i="59"/>
  <c r="Q361" i="59" s="1"/>
  <c r="H430" i="59"/>
  <c r="H586" i="59" s="1"/>
  <c r="H116" i="67"/>
  <c r="H155" i="67" s="1"/>
  <c r="H426" i="59"/>
  <c r="H582" i="59" s="1"/>
  <c r="H112" i="67"/>
  <c r="H151" i="67" s="1"/>
  <c r="P210" i="59"/>
  <c r="P366" i="59" s="1"/>
  <c r="L50" i="67"/>
  <c r="L89" i="67" s="1"/>
  <c r="N116" i="53"/>
  <c r="O214" i="59"/>
  <c r="O370" i="59" s="1"/>
  <c r="F881" i="59"/>
  <c r="H304" i="67"/>
  <c r="H343" i="67" s="1"/>
  <c r="H926" i="59"/>
  <c r="H1082" i="59" s="1"/>
  <c r="N466" i="53"/>
  <c r="O927" i="59"/>
  <c r="O1083" i="59" s="1"/>
  <c r="O919" i="59"/>
  <c r="O1075" i="59" s="1"/>
  <c r="N458" i="53"/>
  <c r="H281" i="67"/>
  <c r="H320" i="67" s="1"/>
  <c r="H903" i="59"/>
  <c r="H1059" i="59" s="1"/>
  <c r="N220" i="53"/>
  <c r="O439" i="59"/>
  <c r="O595" i="59" s="1"/>
  <c r="L277" i="67"/>
  <c r="L316" i="67" s="1"/>
  <c r="P899" i="59"/>
  <c r="P1055" i="59" s="1"/>
  <c r="H664" i="59"/>
  <c r="H820" i="59" s="1"/>
  <c r="H196" i="67"/>
  <c r="H235" i="67" s="1"/>
  <c r="F616" i="54"/>
  <c r="F498" i="54" s="1"/>
  <c r="D177" i="49" s="1"/>
  <c r="K177" i="49" s="1"/>
  <c r="P448" i="59"/>
  <c r="P604" i="59" s="1"/>
  <c r="L134" i="67"/>
  <c r="L173" i="67" s="1"/>
  <c r="O207" i="59"/>
  <c r="O363" i="59" s="1"/>
  <c r="N109" i="53"/>
  <c r="H211" i="59"/>
  <c r="H367" i="59" s="1"/>
  <c r="H51" i="67"/>
  <c r="H90" i="67" s="1"/>
  <c r="F215" i="53"/>
  <c r="G434" i="59"/>
  <c r="G590" i="59" s="1"/>
  <c r="H420" i="59"/>
  <c r="H576" i="59" s="1"/>
  <c r="H106" i="67"/>
  <c r="H145" i="67" s="1"/>
  <c r="P195" i="59"/>
  <c r="P351" i="59" s="1"/>
  <c r="L35" i="67"/>
  <c r="L74" i="67" s="1"/>
  <c r="O203" i="59"/>
  <c r="O359" i="59" s="1"/>
  <c r="N105" i="53"/>
  <c r="F717" i="67"/>
  <c r="F110" i="53"/>
  <c r="G208" i="59"/>
  <c r="G364" i="59" s="1"/>
  <c r="P925" i="59"/>
  <c r="P1081" i="59" s="1"/>
  <c r="L303" i="67"/>
  <c r="L342" i="67" s="1"/>
  <c r="L307" i="67"/>
  <c r="L346" i="67" s="1"/>
  <c r="P929" i="59"/>
  <c r="P1085" i="59" s="1"/>
  <c r="R894" i="59"/>
  <c r="R1051" i="59"/>
  <c r="R1050" i="59" s="1"/>
  <c r="L274" i="67"/>
  <c r="L313" i="67" s="1"/>
  <c r="P896" i="59"/>
  <c r="P1052" i="59" s="1"/>
  <c r="M283" i="67"/>
  <c r="M322" i="67" s="1"/>
  <c r="Q905" i="59"/>
  <c r="Q1061" i="59" s="1"/>
  <c r="G690" i="59"/>
  <c r="G846" i="59" s="1"/>
  <c r="F350" i="53"/>
  <c r="O673" i="59"/>
  <c r="O829" i="59" s="1"/>
  <c r="N333" i="53"/>
  <c r="K136" i="49"/>
  <c r="I33" i="67"/>
  <c r="I72" i="67" s="1"/>
  <c r="I193" i="59"/>
  <c r="I349" i="59" s="1"/>
  <c r="I439" i="59"/>
  <c r="I595" i="59" s="1"/>
  <c r="I125" i="67"/>
  <c r="I164" i="67" s="1"/>
  <c r="F155" i="54"/>
  <c r="F37" i="54" s="1"/>
  <c r="D64" i="49" s="1"/>
  <c r="I37" i="67"/>
  <c r="I76" i="67" s="1"/>
  <c r="I197" i="59"/>
  <c r="I353" i="59" s="1"/>
  <c r="I684" i="59"/>
  <c r="I840" i="59" s="1"/>
  <c r="I216" i="67"/>
  <c r="I255" i="67" s="1"/>
  <c r="F1115" i="59"/>
  <c r="N460" i="53"/>
  <c r="O921" i="59"/>
  <c r="O1077" i="59" s="1"/>
  <c r="H284" i="67"/>
  <c r="H323" i="67" s="1"/>
  <c r="H906" i="59"/>
  <c r="H1062" i="59" s="1"/>
  <c r="I681" i="59"/>
  <c r="I837" i="59" s="1"/>
  <c r="I213" i="67"/>
  <c r="I252" i="67" s="1"/>
  <c r="P689" i="59"/>
  <c r="P845" i="59" s="1"/>
  <c r="L221" i="67"/>
  <c r="L260" i="67" s="1"/>
  <c r="I691" i="59"/>
  <c r="I847" i="59" s="1"/>
  <c r="I223" i="67"/>
  <c r="I262" i="67" s="1"/>
  <c r="G666" i="59"/>
  <c r="G822" i="59" s="1"/>
  <c r="F326" i="53"/>
  <c r="O672" i="59"/>
  <c r="O828" i="59" s="1"/>
  <c r="N332" i="53"/>
  <c r="Q444" i="59"/>
  <c r="Q600" i="59" s="1"/>
  <c r="M130" i="67"/>
  <c r="M169" i="67" s="1"/>
  <c r="N106" i="53"/>
  <c r="O204" i="59"/>
  <c r="O360" i="59" s="1"/>
  <c r="P429" i="59"/>
  <c r="P585" i="59" s="1"/>
  <c r="L115" i="67"/>
  <c r="L154" i="67" s="1"/>
  <c r="F107" i="53"/>
  <c r="G205" i="59"/>
  <c r="G361" i="59" s="1"/>
  <c r="Q686" i="59"/>
  <c r="Q842" i="59" s="1"/>
  <c r="M218" i="67"/>
  <c r="M257" i="67" s="1"/>
  <c r="F613" i="54"/>
  <c r="F495" i="54" s="1"/>
  <c r="D174" i="49" s="1"/>
  <c r="K174" i="49" s="1"/>
  <c r="Q667" i="59"/>
  <c r="Q823" i="59" s="1"/>
  <c r="M199" i="67"/>
  <c r="M238" i="67" s="1"/>
  <c r="P657" i="59"/>
  <c r="L189" i="67"/>
  <c r="M128" i="67"/>
  <c r="M167" i="67" s="1"/>
  <c r="Q442" i="59"/>
  <c r="Q598" i="59" s="1"/>
  <c r="J60" i="67"/>
  <c r="J20" i="67"/>
  <c r="J59" i="67" s="1"/>
  <c r="Q904" i="59"/>
  <c r="Q1060" i="59" s="1"/>
  <c r="M282" i="67"/>
  <c r="M321" i="67" s="1"/>
  <c r="N330" i="53"/>
  <c r="O670" i="59"/>
  <c r="O826" i="59" s="1"/>
  <c r="I1090" i="59"/>
  <c r="I1089" i="59" s="1"/>
  <c r="I933" i="59"/>
  <c r="H895" i="59"/>
  <c r="H273" i="67"/>
  <c r="I280" i="67"/>
  <c r="I319" i="67" s="1"/>
  <c r="I902" i="59"/>
  <c r="I1058" i="59" s="1"/>
  <c r="F616" i="59"/>
  <c r="I445" i="59"/>
  <c r="I601" i="59" s="1"/>
  <c r="I131" i="67"/>
  <c r="I170" i="67" s="1"/>
  <c r="F383" i="59"/>
  <c r="F307" i="54"/>
  <c r="F189" i="54" s="1"/>
  <c r="D100" i="49" s="1"/>
  <c r="P191" i="59"/>
  <c r="P347" i="59" s="1"/>
  <c r="L31" i="67"/>
  <c r="L70" i="67" s="1"/>
  <c r="P187" i="59"/>
  <c r="P343" i="59" s="1"/>
  <c r="L27" i="67"/>
  <c r="L66" i="67" s="1"/>
  <c r="O614" i="59"/>
  <c r="O613" i="59" s="1"/>
  <c r="O457" i="59"/>
  <c r="P926" i="59"/>
  <c r="P1082" i="59" s="1"/>
  <c r="L304" i="67"/>
  <c r="L343" i="67" s="1"/>
  <c r="F349" i="53"/>
  <c r="G689" i="59"/>
  <c r="G845" i="59" s="1"/>
  <c r="F1118" i="59"/>
  <c r="M296" i="67"/>
  <c r="M335" i="67" s="1"/>
  <c r="Q918" i="59"/>
  <c r="Q1074" i="59" s="1"/>
  <c r="N344" i="53"/>
  <c r="O684" i="59"/>
  <c r="O840" i="59" s="1"/>
  <c r="F799" i="67"/>
  <c r="L211" i="67"/>
  <c r="L250" i="67" s="1"/>
  <c r="P679" i="59"/>
  <c r="P835" i="59" s="1"/>
  <c r="K852" i="59"/>
  <c r="K851" i="59" s="1"/>
  <c r="K695" i="59"/>
  <c r="M275" i="67"/>
  <c r="M314" i="67" s="1"/>
  <c r="Q897" i="59"/>
  <c r="Q1053" i="59" s="1"/>
  <c r="I199" i="67"/>
  <c r="I238" i="67" s="1"/>
  <c r="I667" i="59"/>
  <c r="I823" i="59" s="1"/>
  <c r="Q451" i="59"/>
  <c r="Q607" i="59" s="1"/>
  <c r="M137" i="67"/>
  <c r="M176" i="67" s="1"/>
  <c r="I435" i="59"/>
  <c r="I591" i="59" s="1"/>
  <c r="I121" i="67"/>
  <c r="I160" i="67" s="1"/>
  <c r="G185" i="59"/>
  <c r="G341" i="59" s="1"/>
  <c r="F87" i="53"/>
  <c r="H27" i="67"/>
  <c r="H66" i="67" s="1"/>
  <c r="H187" i="59"/>
  <c r="H343" i="59" s="1"/>
  <c r="F622" i="59"/>
  <c r="H50" i="67"/>
  <c r="H89" i="67" s="1"/>
  <c r="H210" i="59"/>
  <c r="H366" i="59" s="1"/>
  <c r="L37" i="67"/>
  <c r="L76" i="67" s="1"/>
  <c r="P197" i="59"/>
  <c r="P353" i="59" s="1"/>
  <c r="F693" i="67"/>
  <c r="Q182" i="59"/>
  <c r="Q338" i="59" s="1"/>
  <c r="M22" i="67"/>
  <c r="M61" i="67" s="1"/>
  <c r="N447" i="53"/>
  <c r="O908" i="59"/>
  <c r="O1064" i="59" s="1"/>
  <c r="I924" i="59"/>
  <c r="I1080" i="59" s="1"/>
  <c r="I302" i="67"/>
  <c r="I341" i="67" s="1"/>
  <c r="N336" i="53"/>
  <c r="O676" i="59"/>
  <c r="O832" i="59" s="1"/>
  <c r="M209" i="67"/>
  <c r="M248" i="67" s="1"/>
  <c r="Q677" i="59"/>
  <c r="Q833" i="59" s="1"/>
  <c r="O668" i="59"/>
  <c r="O824" i="59" s="1"/>
  <c r="N328" i="53"/>
  <c r="H670" i="59"/>
  <c r="H826" i="59" s="1"/>
  <c r="H202" i="67"/>
  <c r="H241" i="67" s="1"/>
  <c r="H905" i="59"/>
  <c r="H1061" i="59" s="1"/>
  <c r="H283" i="67"/>
  <c r="H322" i="67" s="1"/>
  <c r="I901" i="59"/>
  <c r="I1057" i="59" s="1"/>
  <c r="I279" i="67"/>
  <c r="I318" i="67" s="1"/>
  <c r="N454" i="53"/>
  <c r="O915" i="59"/>
  <c r="O1071" i="59" s="1"/>
  <c r="H915" i="59"/>
  <c r="H1071" i="59" s="1"/>
  <c r="H293" i="67"/>
  <c r="H332" i="67" s="1"/>
  <c r="F439" i="53"/>
  <c r="G900" i="59"/>
  <c r="G1056" i="59" s="1"/>
  <c r="H286" i="67"/>
  <c r="H325" i="67" s="1"/>
  <c r="H908" i="59"/>
  <c r="H1064" i="59" s="1"/>
  <c r="F795" i="67"/>
  <c r="H433" i="59"/>
  <c r="H589" i="59" s="1"/>
  <c r="H119" i="67"/>
  <c r="H158" i="67" s="1"/>
  <c r="Q666" i="59"/>
  <c r="Q822" i="59" s="1"/>
  <c r="M198" i="67"/>
  <c r="M237" i="67" s="1"/>
  <c r="F758" i="67"/>
  <c r="Q437" i="59"/>
  <c r="Q593" i="59" s="1"/>
  <c r="M123" i="67"/>
  <c r="M162" i="67" s="1"/>
  <c r="H293" i="54"/>
  <c r="F294" i="54"/>
  <c r="M46" i="67"/>
  <c r="M85" i="67" s="1"/>
  <c r="Q206" i="59"/>
  <c r="Q362" i="59" s="1"/>
  <c r="I31" i="67"/>
  <c r="I70" i="67" s="1"/>
  <c r="I191" i="59"/>
  <c r="I347" i="59" s="1"/>
  <c r="Q192" i="59"/>
  <c r="Q348" i="59" s="1"/>
  <c r="M32" i="67"/>
  <c r="M71" i="67" s="1"/>
  <c r="H44" i="67"/>
  <c r="H83" i="67" s="1"/>
  <c r="H204" i="59"/>
  <c r="H360" i="59" s="1"/>
  <c r="F724" i="67"/>
  <c r="F739" i="67"/>
  <c r="O193" i="59"/>
  <c r="O349" i="59" s="1"/>
  <c r="N95" i="53"/>
  <c r="F812" i="67"/>
  <c r="F869" i="59"/>
  <c r="F449" i="53"/>
  <c r="G910" i="59"/>
  <c r="G1066" i="59" s="1"/>
  <c r="M281" i="67"/>
  <c r="M320" i="67" s="1"/>
  <c r="Q903" i="59"/>
  <c r="Q1059" i="59" s="1"/>
  <c r="F1121" i="59"/>
  <c r="F884" i="59"/>
  <c r="F802" i="67"/>
  <c r="N200" i="53"/>
  <c r="O419" i="59"/>
  <c r="H917" i="59"/>
  <c r="H1073" i="59" s="1"/>
  <c r="H295" i="67"/>
  <c r="H334" i="67" s="1"/>
  <c r="F337" i="53"/>
  <c r="G677" i="59"/>
  <c r="G833" i="59" s="1"/>
  <c r="O691" i="59"/>
  <c r="O847" i="59" s="1"/>
  <c r="N351" i="53"/>
  <c r="Q446" i="59"/>
  <c r="Q602" i="59" s="1"/>
  <c r="M132" i="67"/>
  <c r="M171" i="67" s="1"/>
  <c r="G425" i="59"/>
  <c r="G581" i="59" s="1"/>
  <c r="F206" i="53"/>
  <c r="H137" i="67"/>
  <c r="H176" i="67" s="1"/>
  <c r="H451" i="59"/>
  <c r="H607" i="59" s="1"/>
  <c r="F626" i="59"/>
  <c r="N103" i="53"/>
  <c r="O201" i="59"/>
  <c r="O357" i="59" s="1"/>
  <c r="N206" i="53"/>
  <c r="O425" i="59"/>
  <c r="O581" i="59" s="1"/>
  <c r="M376" i="59"/>
  <c r="M375" i="59" s="1"/>
  <c r="M219" i="59"/>
  <c r="L376" i="59"/>
  <c r="L375" i="59" s="1"/>
  <c r="L219" i="59"/>
  <c r="P603" i="67"/>
  <c r="P641" i="67" s="1"/>
  <c r="F641" i="67" s="1"/>
  <c r="P642" i="67"/>
  <c r="F642" i="67" s="1"/>
  <c r="F870" i="59"/>
  <c r="N434" i="53"/>
  <c r="O895" i="59"/>
  <c r="Q910" i="59"/>
  <c r="Q1066" i="59" s="1"/>
  <c r="M288" i="67"/>
  <c r="M327" i="67" s="1"/>
  <c r="N319" i="53"/>
  <c r="O659" i="59"/>
  <c r="O815" i="59" s="1"/>
  <c r="N329" i="53"/>
  <c r="O669" i="59"/>
  <c r="O825" i="59" s="1"/>
  <c r="F1108" i="59"/>
  <c r="Q680" i="59"/>
  <c r="Q836" i="59" s="1"/>
  <c r="M212" i="67"/>
  <c r="M251" i="67" s="1"/>
  <c r="I674" i="59"/>
  <c r="I830" i="59" s="1"/>
  <c r="I206" i="67"/>
  <c r="I245" i="67" s="1"/>
  <c r="G424" i="59"/>
  <c r="G580" i="59" s="1"/>
  <c r="F205" i="53"/>
  <c r="P396" i="67"/>
  <c r="F396" i="67" s="1"/>
  <c r="P357" i="67"/>
  <c r="P395" i="67" s="1"/>
  <c r="F395" i="67" s="1"/>
  <c r="P436" i="59"/>
  <c r="P592" i="59" s="1"/>
  <c r="L122" i="67"/>
  <c r="L161" i="67" s="1"/>
  <c r="P205" i="59"/>
  <c r="P361" i="59" s="1"/>
  <c r="L45" i="67"/>
  <c r="L84" i="67" s="1"/>
  <c r="Q215" i="59"/>
  <c r="Q371" i="59" s="1"/>
  <c r="M55" i="67"/>
  <c r="M94" i="67" s="1"/>
  <c r="G430" i="59"/>
  <c r="G586" i="59" s="1"/>
  <c r="F211" i="53"/>
  <c r="G426" i="59"/>
  <c r="G582" i="59" s="1"/>
  <c r="F207" i="53"/>
  <c r="O210" i="59"/>
  <c r="O366" i="59" s="1"/>
  <c r="N112" i="53"/>
  <c r="Q200" i="59"/>
  <c r="Q356" i="59" s="1"/>
  <c r="M40" i="67"/>
  <c r="M79" i="67" s="1"/>
  <c r="F876" i="59"/>
  <c r="H276" i="67"/>
  <c r="H315" i="67" s="1"/>
  <c r="H898" i="59"/>
  <c r="H1054" i="59" s="1"/>
  <c r="G903" i="59"/>
  <c r="G1059" i="59" s="1"/>
  <c r="F442" i="53"/>
  <c r="P439" i="59"/>
  <c r="P595" i="59" s="1"/>
  <c r="L125" i="67"/>
  <c r="L164" i="67" s="1"/>
  <c r="O899" i="59"/>
  <c r="O1055" i="59" s="1"/>
  <c r="N438" i="53"/>
  <c r="F1124" i="59"/>
  <c r="F742" i="67"/>
  <c r="F882" i="59"/>
  <c r="M47" i="67"/>
  <c r="M86" i="67" s="1"/>
  <c r="Q207" i="59"/>
  <c r="Q363" i="59" s="1"/>
  <c r="G211" i="59"/>
  <c r="G367" i="59" s="1"/>
  <c r="F113" i="53"/>
  <c r="H120" i="67"/>
  <c r="H159" i="67" s="1"/>
  <c r="H434" i="59"/>
  <c r="H590" i="59" s="1"/>
  <c r="I420" i="59"/>
  <c r="I576" i="59" s="1"/>
  <c r="I106" i="67"/>
  <c r="I145" i="67" s="1"/>
  <c r="N97" i="53"/>
  <c r="O195" i="59"/>
  <c r="O351" i="59" s="1"/>
  <c r="Q203" i="59"/>
  <c r="Q359" i="59" s="1"/>
  <c r="M43" i="67"/>
  <c r="M82" i="67" s="1"/>
  <c r="N86" i="53"/>
  <c r="O184" i="59"/>
  <c r="O340" i="59" s="1"/>
  <c r="F1119" i="59"/>
  <c r="Q925" i="59"/>
  <c r="Q1081" i="59" s="1"/>
  <c r="M303" i="67"/>
  <c r="M342" i="67" s="1"/>
  <c r="O929" i="59"/>
  <c r="O1085" i="59" s="1"/>
  <c r="N468" i="53"/>
  <c r="K132" i="49"/>
  <c r="I299" i="67"/>
  <c r="I338" i="67" s="1"/>
  <c r="I921" i="59"/>
  <c r="I1077" i="59" s="1"/>
  <c r="F1122" i="59"/>
  <c r="Q896" i="59"/>
  <c r="Q1052" i="59" s="1"/>
  <c r="M274" i="67"/>
  <c r="M313" i="67" s="1"/>
  <c r="F476" i="54"/>
  <c r="F358" i="54" s="1"/>
  <c r="D153" i="49" s="1"/>
  <c r="F480" i="54"/>
  <c r="F362" i="54" s="1"/>
  <c r="D157" i="49" s="1"/>
  <c r="H222" i="67"/>
  <c r="H261" i="67" s="1"/>
  <c r="H690" i="59"/>
  <c r="H846" i="59" s="1"/>
  <c r="F866" i="59"/>
  <c r="M133" i="67"/>
  <c r="M172" i="67" s="1"/>
  <c r="Q447" i="59"/>
  <c r="Q603" i="59" s="1"/>
  <c r="H33" i="67"/>
  <c r="H72" i="67" s="1"/>
  <c r="H193" i="59"/>
  <c r="H349" i="59" s="1"/>
  <c r="F310" i="54"/>
  <c r="F192" i="54" s="1"/>
  <c r="D103" i="49" s="1"/>
  <c r="N205" i="53"/>
  <c r="O424" i="59"/>
  <c r="O580" i="59" s="1"/>
  <c r="H197" i="59"/>
  <c r="H353" i="59" s="1"/>
  <c r="H37" i="67"/>
  <c r="H76" i="67" s="1"/>
  <c r="G684" i="59"/>
  <c r="G840" i="59" s="1"/>
  <c r="F344" i="53"/>
  <c r="H305" i="67"/>
  <c r="H344" i="67" s="1"/>
  <c r="H927" i="59"/>
  <c r="H1083" i="59" s="1"/>
  <c r="I297" i="67"/>
  <c r="I336" i="67" s="1"/>
  <c r="I919" i="59"/>
  <c r="I1075" i="59" s="1"/>
  <c r="O199" i="59"/>
  <c r="O355" i="59" s="1"/>
  <c r="N101" i="53"/>
  <c r="F445" i="53"/>
  <c r="G906" i="59"/>
  <c r="G1062" i="59" s="1"/>
  <c r="F321" i="53"/>
  <c r="G661" i="59"/>
  <c r="G817" i="59" s="1"/>
  <c r="H213" i="67"/>
  <c r="H252" i="67" s="1"/>
  <c r="H681" i="59"/>
  <c r="H837" i="59" s="1"/>
  <c r="H899" i="59"/>
  <c r="H1055" i="59" s="1"/>
  <c r="H277" i="67"/>
  <c r="H316" i="67" s="1"/>
  <c r="F639" i="59"/>
  <c r="O689" i="59"/>
  <c r="O845" i="59" s="1"/>
  <c r="N349" i="53"/>
  <c r="F351" i="53"/>
  <c r="G691" i="59"/>
  <c r="G847" i="59" s="1"/>
  <c r="I666" i="59"/>
  <c r="I822" i="59" s="1"/>
  <c r="I198" i="67"/>
  <c r="I237" i="67" s="1"/>
  <c r="P444" i="59"/>
  <c r="P600" i="59" s="1"/>
  <c r="L130" i="67"/>
  <c r="L169" i="67" s="1"/>
  <c r="P204" i="59"/>
  <c r="P360" i="59" s="1"/>
  <c r="L44" i="67"/>
  <c r="L83" i="67" s="1"/>
  <c r="F303" i="54"/>
  <c r="F185" i="54" s="1"/>
  <c r="D96" i="49" s="1"/>
  <c r="H47" i="67"/>
  <c r="H86" i="67" s="1"/>
  <c r="H207" i="59"/>
  <c r="H363" i="59" s="1"/>
  <c r="F856" i="59"/>
  <c r="L218" i="67"/>
  <c r="L257" i="67" s="1"/>
  <c r="P686" i="59"/>
  <c r="P842" i="59" s="1"/>
  <c r="P924" i="59"/>
  <c r="P1080" i="59" s="1"/>
  <c r="L302" i="67"/>
  <c r="L341" i="67" s="1"/>
  <c r="F877" i="59"/>
  <c r="N327" i="53"/>
  <c r="O667" i="59"/>
  <c r="O823" i="59" s="1"/>
  <c r="H201" i="67"/>
  <c r="H240" i="67" s="1"/>
  <c r="H669" i="59"/>
  <c r="H825" i="59" s="1"/>
  <c r="O442" i="59"/>
  <c r="O598" i="59" s="1"/>
  <c r="N223" i="53"/>
  <c r="J180" i="59"/>
  <c r="J337" i="59"/>
  <c r="J336" i="59" s="1"/>
  <c r="P904" i="59"/>
  <c r="P1060" i="59" s="1"/>
  <c r="L282" i="67"/>
  <c r="L321" i="67" s="1"/>
  <c r="M202" i="67"/>
  <c r="M241" i="67" s="1"/>
  <c r="Q670" i="59"/>
  <c r="Q826" i="59" s="1"/>
  <c r="G1090" i="59"/>
  <c r="G933" i="59"/>
  <c r="G895" i="59"/>
  <c r="F434" i="53"/>
  <c r="H665" i="59"/>
  <c r="H821" i="59" s="1"/>
  <c r="H197" i="67"/>
  <c r="H236" i="67" s="1"/>
  <c r="G902" i="59"/>
  <c r="G1058" i="59" s="1"/>
  <c r="F441" i="53"/>
  <c r="P664" i="59"/>
  <c r="P820" i="59" s="1"/>
  <c r="L196" i="67"/>
  <c r="L235" i="67" s="1"/>
  <c r="F309" i="54"/>
  <c r="F191" i="54" s="1"/>
  <c r="D102" i="49" s="1"/>
  <c r="F226" i="53"/>
  <c r="G445" i="59"/>
  <c r="G601" i="59" s="1"/>
  <c r="I443" i="59"/>
  <c r="I599" i="59" s="1"/>
  <c r="I129" i="67"/>
  <c r="I168" i="67" s="1"/>
  <c r="F202" i="53"/>
  <c r="G421" i="59"/>
  <c r="G577" i="59" s="1"/>
  <c r="P422" i="59"/>
  <c r="P578" i="59" s="1"/>
  <c r="L108" i="67"/>
  <c r="L147" i="67" s="1"/>
  <c r="I438" i="59"/>
  <c r="I594" i="59" s="1"/>
  <c r="I124" i="67"/>
  <c r="I163" i="67" s="1"/>
  <c r="O185" i="59"/>
  <c r="O341" i="59" s="1"/>
  <c r="N87" i="53"/>
  <c r="F154" i="54"/>
  <c r="F36" i="54" s="1"/>
  <c r="D63" i="49" s="1"/>
  <c r="O191" i="59"/>
  <c r="O347" i="59" s="1"/>
  <c r="N93" i="53"/>
  <c r="O187" i="59"/>
  <c r="O343" i="59" s="1"/>
  <c r="N89" i="53"/>
  <c r="M614" i="59"/>
  <c r="M613" i="59" s="1"/>
  <c r="M457" i="59"/>
  <c r="F697" i="67"/>
  <c r="N465" i="53"/>
  <c r="O926" i="59"/>
  <c r="O1082" i="59" s="1"/>
  <c r="H221" i="67"/>
  <c r="H260" i="67" s="1"/>
  <c r="H689" i="59"/>
  <c r="H845" i="59" s="1"/>
  <c r="P918" i="59"/>
  <c r="P1074" i="59" s="1"/>
  <c r="L296" i="67"/>
  <c r="L335" i="67" s="1"/>
  <c r="L280" i="67"/>
  <c r="L319" i="67" s="1"/>
  <c r="P902" i="59"/>
  <c r="P1058" i="59" s="1"/>
  <c r="P671" i="59"/>
  <c r="P827" i="59" s="1"/>
  <c r="L203" i="67"/>
  <c r="L242" i="67" s="1"/>
  <c r="H673" i="59"/>
  <c r="H829" i="59" s="1"/>
  <c r="H205" i="67"/>
  <c r="H244" i="67" s="1"/>
  <c r="N339" i="53"/>
  <c r="O679" i="59"/>
  <c r="O835" i="59" s="1"/>
  <c r="O852" i="59"/>
  <c r="O851" i="59" s="1"/>
  <c r="O695" i="59"/>
  <c r="L852" i="59"/>
  <c r="L851" i="59" s="1"/>
  <c r="L695" i="59"/>
  <c r="F845" i="67"/>
  <c r="I275" i="67"/>
  <c r="I314" i="67" s="1"/>
  <c r="I897" i="59"/>
  <c r="I1053" i="59" s="1"/>
  <c r="H199" i="67"/>
  <c r="H238" i="67" s="1"/>
  <c r="H667" i="59"/>
  <c r="H823" i="59" s="1"/>
  <c r="M113" i="67"/>
  <c r="M152" i="67" s="1"/>
  <c r="Q427" i="59"/>
  <c r="Q583" i="59" s="1"/>
  <c r="P451" i="59"/>
  <c r="P607" i="59" s="1"/>
  <c r="L137" i="67"/>
  <c r="L176" i="67" s="1"/>
  <c r="H121" i="67"/>
  <c r="H160" i="67" s="1"/>
  <c r="H435" i="59"/>
  <c r="H591" i="59" s="1"/>
  <c r="I185" i="59"/>
  <c r="I341" i="59" s="1"/>
  <c r="I25" i="67"/>
  <c r="I64" i="67" s="1"/>
  <c r="I27" i="67"/>
  <c r="I66" i="67" s="1"/>
  <c r="I187" i="59"/>
  <c r="I343" i="59" s="1"/>
  <c r="F112" i="53"/>
  <c r="G210" i="59"/>
  <c r="G366" i="59" s="1"/>
  <c r="F705" i="67"/>
  <c r="L22" i="67"/>
  <c r="L61" i="67" s="1"/>
  <c r="P182" i="59"/>
  <c r="P338" i="59" s="1"/>
  <c r="I918" i="59"/>
  <c r="I1074" i="59" s="1"/>
  <c r="I296" i="67"/>
  <c r="I335" i="67" s="1"/>
  <c r="G924" i="59"/>
  <c r="G1080" i="59" s="1"/>
  <c r="F463" i="53"/>
  <c r="Q688" i="59"/>
  <c r="Q844" i="59" s="1"/>
  <c r="M220" i="67"/>
  <c r="M259" i="67" s="1"/>
  <c r="P676" i="59"/>
  <c r="P832" i="59" s="1"/>
  <c r="L208" i="67"/>
  <c r="L247" i="67" s="1"/>
  <c r="M200" i="67"/>
  <c r="M239" i="67" s="1"/>
  <c r="Q668" i="59"/>
  <c r="Q824" i="59" s="1"/>
  <c r="G905" i="59"/>
  <c r="G1061" i="59" s="1"/>
  <c r="F444" i="53"/>
  <c r="H279" i="67"/>
  <c r="H318" i="67" s="1"/>
  <c r="H901" i="59"/>
  <c r="H1057" i="59" s="1"/>
  <c r="P915" i="59"/>
  <c r="P1071" i="59" s="1"/>
  <c r="L293" i="67"/>
  <c r="L332" i="67" s="1"/>
  <c r="G915" i="59"/>
  <c r="G1071" i="59" s="1"/>
  <c r="F454" i="53"/>
  <c r="I278" i="67"/>
  <c r="I317" i="67" s="1"/>
  <c r="I900" i="59"/>
  <c r="I1056" i="59" s="1"/>
  <c r="I195" i="67"/>
  <c r="I234" i="67" s="1"/>
  <c r="I663" i="59"/>
  <c r="I819" i="59" s="1"/>
  <c r="I207" i="67"/>
  <c r="I246" i="67" s="1"/>
  <c r="I675" i="59"/>
  <c r="I831" i="59" s="1"/>
  <c r="L123" i="67"/>
  <c r="L162" i="67" s="1"/>
  <c r="P437" i="59"/>
  <c r="P593" i="59" s="1"/>
  <c r="M575" i="59"/>
  <c r="M574" i="59" s="1"/>
  <c r="M418" i="59"/>
  <c r="L32" i="67"/>
  <c r="L71" i="67" s="1"/>
  <c r="P192" i="59"/>
  <c r="P348" i="59" s="1"/>
  <c r="I44" i="67"/>
  <c r="I83" i="67" s="1"/>
  <c r="I204" i="59"/>
  <c r="I360" i="59" s="1"/>
  <c r="H28" i="67"/>
  <c r="H67" i="67" s="1"/>
  <c r="H188" i="59"/>
  <c r="H344" i="59" s="1"/>
  <c r="Q193" i="59"/>
  <c r="Q349" i="59" s="1"/>
  <c r="M33" i="67"/>
  <c r="M72" i="67" s="1"/>
  <c r="F143" i="54"/>
  <c r="F25" i="54" s="1"/>
  <c r="D52" i="49" s="1"/>
  <c r="F624" i="54"/>
  <c r="F506" i="54" s="1"/>
  <c r="D185" i="49" s="1"/>
  <c r="K185" i="49" s="1"/>
  <c r="I910" i="59"/>
  <c r="I1066" i="59" s="1"/>
  <c r="I288" i="67"/>
  <c r="I327" i="67" s="1"/>
  <c r="P903" i="59"/>
  <c r="P1059" i="59" s="1"/>
  <c r="L281" i="67"/>
  <c r="L320" i="67" s="1"/>
  <c r="F816" i="67"/>
  <c r="F300" i="54"/>
  <c r="F182" i="54" s="1"/>
  <c r="D93" i="49" s="1"/>
  <c r="L105" i="67"/>
  <c r="P419" i="59"/>
  <c r="I917" i="59"/>
  <c r="I1073" i="59" s="1"/>
  <c r="I295" i="67"/>
  <c r="I334" i="67" s="1"/>
  <c r="H289" i="67"/>
  <c r="H328" i="67" s="1"/>
  <c r="H911" i="59"/>
  <c r="H1067" i="59" s="1"/>
  <c r="I209" i="67"/>
  <c r="I248" i="67" s="1"/>
  <c r="I677" i="59"/>
  <c r="I833" i="59" s="1"/>
  <c r="P691" i="59"/>
  <c r="P847" i="59" s="1"/>
  <c r="L223" i="67"/>
  <c r="L262" i="67" s="1"/>
  <c r="F97" i="53"/>
  <c r="G195" i="59"/>
  <c r="G351" i="59" s="1"/>
  <c r="F232" i="53"/>
  <c r="G451" i="59"/>
  <c r="G607" i="59" s="1"/>
  <c r="G184" i="59"/>
  <c r="G340" i="59" s="1"/>
  <c r="F86" i="53"/>
  <c r="F138" i="54"/>
  <c r="F20" i="54" s="1"/>
  <c r="D47" i="49" s="1"/>
  <c r="F712" i="67"/>
  <c r="F306" i="54"/>
  <c r="F188" i="54" s="1"/>
  <c r="D99" i="49" s="1"/>
  <c r="Q201" i="59"/>
  <c r="Q357" i="59" s="1"/>
  <c r="M41" i="67"/>
  <c r="M80" i="67" s="1"/>
  <c r="Q425" i="59"/>
  <c r="Q581" i="59" s="1"/>
  <c r="M111" i="67"/>
  <c r="M150" i="67" s="1"/>
  <c r="K376" i="59"/>
  <c r="K375" i="59" s="1"/>
  <c r="K219" i="59"/>
  <c r="I203" i="59"/>
  <c r="I359" i="59" s="1"/>
  <c r="I43" i="67"/>
  <c r="I82" i="67" s="1"/>
  <c r="J609" i="54"/>
  <c r="P895" i="59"/>
  <c r="L273" i="67"/>
  <c r="O910" i="59"/>
  <c r="O1066" i="59" s="1"/>
  <c r="N449" i="53"/>
  <c r="Q659" i="59"/>
  <c r="Q815" i="59" s="1"/>
  <c r="M191" i="67"/>
  <c r="M230" i="67" s="1"/>
  <c r="F627" i="54"/>
  <c r="F509" i="54" s="1"/>
  <c r="D188" i="49" s="1"/>
  <c r="K188" i="49" s="1"/>
  <c r="N340" i="53"/>
  <c r="O680" i="59"/>
  <c r="O836" i="59" s="1"/>
  <c r="G668" i="59"/>
  <c r="G824" i="59" s="1"/>
  <c r="F328" i="53"/>
  <c r="F803" i="67"/>
  <c r="F637" i="59"/>
  <c r="M122" i="67"/>
  <c r="M161" i="67" s="1"/>
  <c r="Q436" i="59"/>
  <c r="Q592" i="59" s="1"/>
  <c r="O205" i="59"/>
  <c r="O361" i="59" s="1"/>
  <c r="N107" i="53"/>
  <c r="N117" i="53"/>
  <c r="O215" i="59"/>
  <c r="O371" i="59" s="1"/>
  <c r="F200" i="53"/>
  <c r="G419" i="59"/>
  <c r="Q198" i="59"/>
  <c r="Q354" i="59" s="1"/>
  <c r="M38" i="67"/>
  <c r="M77" i="67" s="1"/>
  <c r="L40" i="67"/>
  <c r="L79" i="67" s="1"/>
  <c r="P200" i="59"/>
  <c r="P356" i="59" s="1"/>
  <c r="F1103" i="59"/>
  <c r="F348" i="53"/>
  <c r="G688" i="59"/>
  <c r="G844" i="59" s="1"/>
  <c r="F437" i="53"/>
  <c r="G898" i="59"/>
  <c r="G1054" i="59" s="1"/>
  <c r="I903" i="59"/>
  <c r="I1059" i="59" s="1"/>
  <c r="I281" i="67"/>
  <c r="I320" i="67" s="1"/>
  <c r="J451" i="54"/>
  <c r="P683" i="59"/>
  <c r="P839" i="59" s="1"/>
  <c r="L215" i="67"/>
  <c r="L254" i="67" s="1"/>
  <c r="G679" i="59"/>
  <c r="G835" i="59" s="1"/>
  <c r="F339" i="53"/>
  <c r="F1107" i="59"/>
  <c r="I51" i="67"/>
  <c r="I90" i="67" s="1"/>
  <c r="I211" i="59"/>
  <c r="I367" i="59" s="1"/>
  <c r="O441" i="59"/>
  <c r="O597" i="59" s="1"/>
  <c r="N222" i="53"/>
  <c r="I434" i="59"/>
  <c r="I590" i="59" s="1"/>
  <c r="I120" i="67"/>
  <c r="I159" i="67" s="1"/>
  <c r="Q195" i="59"/>
  <c r="Q351" i="59" s="1"/>
  <c r="M35" i="67"/>
  <c r="M74" i="67" s="1"/>
  <c r="F406" i="59"/>
  <c r="L24" i="67"/>
  <c r="L63" i="67" s="1"/>
  <c r="P184" i="59"/>
  <c r="P340" i="59" s="1"/>
  <c r="N464" i="53"/>
  <c r="O925" i="59"/>
  <c r="O1081" i="59" s="1"/>
  <c r="Q929" i="59"/>
  <c r="Q1085" i="59" s="1"/>
  <c r="M307" i="67"/>
  <c r="M346" i="67" s="1"/>
  <c r="F460" i="53"/>
  <c r="G921" i="59"/>
  <c r="G1077" i="59" s="1"/>
  <c r="G686" i="59"/>
  <c r="G842" i="59" s="1"/>
  <c r="F346" i="53"/>
  <c r="G662" i="59"/>
  <c r="G818" i="59" s="1"/>
  <c r="F322" i="53"/>
  <c r="F860" i="59"/>
  <c r="I130" i="67"/>
  <c r="I169" i="67" s="1"/>
  <c r="I444" i="59"/>
  <c r="I600" i="59" s="1"/>
  <c r="P447" i="59"/>
  <c r="P603" i="59" s="1"/>
  <c r="L133" i="67"/>
  <c r="L172" i="67" s="1"/>
  <c r="P453" i="59"/>
  <c r="P609" i="59" s="1"/>
  <c r="L139" i="67"/>
  <c r="L178" i="67" s="1"/>
  <c r="Q900" i="59"/>
  <c r="Q1056" i="59" s="1"/>
  <c r="M278" i="67"/>
  <c r="M317" i="67" s="1"/>
  <c r="J735" i="67"/>
  <c r="F736" i="67"/>
  <c r="F385" i="59"/>
  <c r="P424" i="59"/>
  <c r="P580" i="59" s="1"/>
  <c r="L110" i="67"/>
  <c r="L149" i="67" s="1"/>
  <c r="F403" i="59"/>
  <c r="F386" i="59"/>
  <c r="G197" i="59"/>
  <c r="G353" i="59" s="1"/>
  <c r="F99" i="53"/>
  <c r="N455" i="53"/>
  <c r="O916" i="59"/>
  <c r="O1072" i="59" s="1"/>
  <c r="G927" i="59"/>
  <c r="G1083" i="59" s="1"/>
  <c r="F466" i="53"/>
  <c r="F458" i="53"/>
  <c r="G919" i="59"/>
  <c r="G1075" i="59" s="1"/>
  <c r="Q199" i="59"/>
  <c r="Q355" i="59" s="1"/>
  <c r="M39" i="67"/>
  <c r="M78" i="67" s="1"/>
  <c r="I661" i="59"/>
  <c r="I817" i="59" s="1"/>
  <c r="I193" i="67"/>
  <c r="I232" i="67" s="1"/>
  <c r="G899" i="59"/>
  <c r="G1055" i="59" s="1"/>
  <c r="F438" i="53"/>
  <c r="K155" i="49"/>
  <c r="Q681" i="59"/>
  <c r="Q837" i="59" s="1"/>
  <c r="M213" i="67"/>
  <c r="M252" i="67" s="1"/>
  <c r="F408" i="59"/>
  <c r="N98" i="53"/>
  <c r="O196" i="59"/>
  <c r="O352" i="59" s="1"/>
  <c r="H196" i="59"/>
  <c r="H352" i="59" s="1"/>
  <c r="H36" i="67"/>
  <c r="H75" i="67" s="1"/>
  <c r="F714" i="67"/>
  <c r="K689" i="67"/>
  <c r="F390" i="59"/>
  <c r="F401" i="59"/>
  <c r="G207" i="59"/>
  <c r="G363" i="59" s="1"/>
  <c r="F109" i="53"/>
  <c r="O686" i="59"/>
  <c r="O842" i="59" s="1"/>
  <c r="N346" i="53"/>
  <c r="M193" i="67"/>
  <c r="M232" i="67" s="1"/>
  <c r="Q661" i="59"/>
  <c r="Q817" i="59" s="1"/>
  <c r="N463" i="53"/>
  <c r="O924" i="59"/>
  <c r="O1080" i="59" s="1"/>
  <c r="F1123" i="59"/>
  <c r="F1117" i="59"/>
  <c r="L199" i="67"/>
  <c r="L238" i="67" s="1"/>
  <c r="P667" i="59"/>
  <c r="P823" i="59" s="1"/>
  <c r="I201" i="67"/>
  <c r="I240" i="67" s="1"/>
  <c r="I669" i="59"/>
  <c r="I825" i="59" s="1"/>
  <c r="L128" i="67"/>
  <c r="L167" i="67" s="1"/>
  <c r="P442" i="59"/>
  <c r="P598" i="59" s="1"/>
  <c r="F784" i="67"/>
  <c r="M1090" i="59"/>
  <c r="M1089" i="59" s="1"/>
  <c r="M933" i="59"/>
  <c r="I895" i="59"/>
  <c r="I273" i="67"/>
  <c r="I665" i="59"/>
  <c r="I821" i="59" s="1"/>
  <c r="I197" i="67"/>
  <c r="I236" i="67" s="1"/>
  <c r="S894" i="59"/>
  <c r="S1051" i="59"/>
  <c r="S1050" i="59" s="1"/>
  <c r="I449" i="59"/>
  <c r="I605" i="59" s="1"/>
  <c r="I135" i="67"/>
  <c r="I174" i="67" s="1"/>
  <c r="N347" i="53"/>
  <c r="O687" i="59"/>
  <c r="O843" i="59" s="1"/>
  <c r="H902" i="59"/>
  <c r="H1058" i="59" s="1"/>
  <c r="H280" i="67"/>
  <c r="H319" i="67" s="1"/>
  <c r="F319" i="53"/>
  <c r="G659" i="59"/>
  <c r="G815" i="59" s="1"/>
  <c r="Q664" i="59"/>
  <c r="Q820" i="59" s="1"/>
  <c r="M196" i="67"/>
  <c r="M235" i="67" s="1"/>
  <c r="F405" i="59"/>
  <c r="F865" i="59"/>
  <c r="F645" i="59"/>
  <c r="H131" i="67"/>
  <c r="H170" i="67" s="1"/>
  <c r="H445" i="59"/>
  <c r="H601" i="59" s="1"/>
  <c r="H443" i="59"/>
  <c r="H599" i="59" s="1"/>
  <c r="H129" i="67"/>
  <c r="H168" i="67" s="1"/>
  <c r="H107" i="67"/>
  <c r="H146" i="67" s="1"/>
  <c r="H421" i="59"/>
  <c r="H577" i="59" s="1"/>
  <c r="N203" i="53"/>
  <c r="O422" i="59"/>
  <c r="O578" i="59" s="1"/>
  <c r="F219" i="53"/>
  <c r="G438" i="59"/>
  <c r="G594" i="59" s="1"/>
  <c r="L25" i="67"/>
  <c r="L64" i="67" s="1"/>
  <c r="P185" i="59"/>
  <c r="P341" i="59" s="1"/>
  <c r="N92" i="53"/>
  <c r="O190" i="59"/>
  <c r="O346" i="59" s="1"/>
  <c r="F136" i="54"/>
  <c r="H135" i="54"/>
  <c r="Q191" i="59"/>
  <c r="Q347" i="59" s="1"/>
  <c r="M31" i="67"/>
  <c r="M70" i="67" s="1"/>
  <c r="N614" i="59"/>
  <c r="N613" i="59" s="1"/>
  <c r="N457" i="59"/>
  <c r="M304" i="67"/>
  <c r="M343" i="67" s="1"/>
  <c r="Q926" i="59"/>
  <c r="Q1082" i="59" s="1"/>
  <c r="I689" i="59"/>
  <c r="I845" i="59" s="1"/>
  <c r="I221" i="67"/>
  <c r="I260" i="67" s="1"/>
  <c r="F860" i="67"/>
  <c r="P685" i="59"/>
  <c r="P841" i="59" s="1"/>
  <c r="L217" i="67"/>
  <c r="L256" i="67" s="1"/>
  <c r="O902" i="59"/>
  <c r="O1058" i="59" s="1"/>
  <c r="N441" i="53"/>
  <c r="N331" i="53"/>
  <c r="O671" i="59"/>
  <c r="O827" i="59" s="1"/>
  <c r="F333" i="53"/>
  <c r="G673" i="59"/>
  <c r="G829" i="59" s="1"/>
  <c r="Q898" i="59"/>
  <c r="Q1054" i="59" s="1"/>
  <c r="M276" i="67"/>
  <c r="M315" i="67" s="1"/>
  <c r="I852" i="59"/>
  <c r="I851" i="59" s="1"/>
  <c r="I695" i="59"/>
  <c r="F863" i="59"/>
  <c r="F831" i="67"/>
  <c r="F637" i="54"/>
  <c r="F519" i="54" s="1"/>
  <c r="D198" i="49" s="1"/>
  <c r="K198" i="49" s="1"/>
  <c r="F436" i="53"/>
  <c r="G897" i="59"/>
  <c r="G1053" i="59" s="1"/>
  <c r="F327" i="53"/>
  <c r="G667" i="59"/>
  <c r="G823" i="59" s="1"/>
  <c r="L120" i="67"/>
  <c r="L159" i="67" s="1"/>
  <c r="P434" i="59"/>
  <c r="P590" i="59" s="1"/>
  <c r="N208" i="53"/>
  <c r="O427" i="59"/>
  <c r="O583" i="59" s="1"/>
  <c r="F297" i="54"/>
  <c r="F179" i="54" s="1"/>
  <c r="D90" i="49" s="1"/>
  <c r="F216" i="53"/>
  <c r="G435" i="59"/>
  <c r="G591" i="59" s="1"/>
  <c r="L49" i="67"/>
  <c r="L88" i="67" s="1"/>
  <c r="P209" i="59"/>
  <c r="P365" i="59" s="1"/>
  <c r="N84" i="53"/>
  <c r="O182" i="59"/>
  <c r="O338" i="59" s="1"/>
  <c r="F398" i="59"/>
  <c r="F388" i="59"/>
  <c r="H296" i="67"/>
  <c r="H335" i="67" s="1"/>
  <c r="H918" i="59"/>
  <c r="H1074" i="59" s="1"/>
  <c r="F853" i="59"/>
  <c r="N348" i="53"/>
  <c r="O688" i="59"/>
  <c r="O844" i="59" s="1"/>
  <c r="F1105" i="59"/>
  <c r="F641" i="54"/>
  <c r="F523" i="54" s="1"/>
  <c r="D202" i="49" s="1"/>
  <c r="K202" i="49" s="1"/>
  <c r="F858" i="67"/>
  <c r="F756" i="67"/>
  <c r="F453" i="54"/>
  <c r="F335" i="54" s="1"/>
  <c r="D130" i="49" s="1"/>
  <c r="I915" i="59"/>
  <c r="I1071" i="59" s="1"/>
  <c r="I293" i="67"/>
  <c r="I332" i="67" s="1"/>
  <c r="P430" i="59"/>
  <c r="P586" i="59" s="1"/>
  <c r="L116" i="67"/>
  <c r="L155" i="67" s="1"/>
  <c r="F323" i="53"/>
  <c r="G663" i="59"/>
  <c r="G819" i="59" s="1"/>
  <c r="F879" i="59"/>
  <c r="G675" i="59"/>
  <c r="G831" i="59" s="1"/>
  <c r="F335" i="53"/>
  <c r="I446" i="59"/>
  <c r="I602" i="59" s="1"/>
  <c r="I132" i="67"/>
  <c r="I171" i="67" s="1"/>
  <c r="O423" i="59"/>
  <c r="O579" i="59" s="1"/>
  <c r="N204" i="53"/>
  <c r="H192" i="59"/>
  <c r="H348" i="59" s="1"/>
  <c r="H32" i="67"/>
  <c r="H71" i="67" s="1"/>
  <c r="N90" i="53"/>
  <c r="O188" i="59"/>
  <c r="O344" i="59" s="1"/>
  <c r="F156" i="54"/>
  <c r="F38" i="54" s="1"/>
  <c r="D65" i="49" s="1"/>
  <c r="N94" i="53"/>
  <c r="O192" i="59"/>
  <c r="O348" i="59" s="1"/>
  <c r="F90" i="53"/>
  <c r="G188" i="59"/>
  <c r="G344" i="59" s="1"/>
  <c r="F631" i="54"/>
  <c r="F513" i="54" s="1"/>
  <c r="D192" i="49" s="1"/>
  <c r="K192" i="49" s="1"/>
  <c r="H288" i="67"/>
  <c r="H327" i="67" s="1"/>
  <c r="H910" i="59"/>
  <c r="H1066" i="59" s="1"/>
  <c r="F849" i="67"/>
  <c r="F618" i="54"/>
  <c r="F500" i="54" s="1"/>
  <c r="D179" i="49" s="1"/>
  <c r="K179" i="49" s="1"/>
  <c r="I450" i="59"/>
  <c r="I606" i="59" s="1"/>
  <c r="I136" i="67"/>
  <c r="I175" i="67" s="1"/>
  <c r="F450" i="53"/>
  <c r="G911" i="59"/>
  <c r="G1067" i="59" s="1"/>
  <c r="H677" i="59"/>
  <c r="H833" i="59" s="1"/>
  <c r="H209" i="67"/>
  <c r="H248" i="67" s="1"/>
  <c r="Q691" i="59"/>
  <c r="Q847" i="59" s="1"/>
  <c r="M223" i="67"/>
  <c r="M262" i="67" s="1"/>
  <c r="O658" i="59"/>
  <c r="O814" i="59" s="1"/>
  <c r="N318" i="53"/>
  <c r="J293" i="54"/>
  <c r="N226" i="53"/>
  <c r="O445" i="59"/>
  <c r="O601" i="59" s="1"/>
  <c r="I195" i="59"/>
  <c r="I351" i="59" s="1"/>
  <c r="I35" i="67"/>
  <c r="I74" i="67" s="1"/>
  <c r="F104" i="53"/>
  <c r="G202" i="59"/>
  <c r="G358" i="59" s="1"/>
  <c r="F765" i="67"/>
  <c r="L114" i="67"/>
  <c r="L153" i="67" s="1"/>
  <c r="P428" i="59"/>
  <c r="P584" i="59" s="1"/>
  <c r="I209" i="59"/>
  <c r="I365" i="59" s="1"/>
  <c r="I49" i="67"/>
  <c r="I88" i="67" s="1"/>
  <c r="F623" i="59"/>
  <c r="F628" i="59"/>
  <c r="H24" i="67"/>
  <c r="H63" i="67" s="1"/>
  <c r="H184" i="59"/>
  <c r="H340" i="59" s="1"/>
  <c r="F630" i="59"/>
  <c r="H40" i="67"/>
  <c r="H79" i="67" s="1"/>
  <c r="H200" i="59"/>
  <c r="H356" i="59" s="1"/>
  <c r="H53" i="67"/>
  <c r="H92" i="67" s="1"/>
  <c r="H213" i="59"/>
  <c r="H369" i="59" s="1"/>
  <c r="P425" i="59"/>
  <c r="P581" i="59" s="1"/>
  <c r="L111" i="67"/>
  <c r="L150" i="67" s="1"/>
  <c r="O376" i="59"/>
  <c r="O375" i="59" s="1"/>
  <c r="O219" i="59"/>
  <c r="H43" i="67"/>
  <c r="H82" i="67" s="1"/>
  <c r="H203" i="59"/>
  <c r="H359" i="59" s="1"/>
  <c r="O112" i="49" l="1"/>
  <c r="O111" i="49"/>
  <c r="O119" i="49"/>
  <c r="O114" i="49"/>
  <c r="O120" i="49"/>
  <c r="O108" i="49"/>
  <c r="O113" i="49"/>
  <c r="O109" i="49"/>
  <c r="O110" i="49"/>
  <c r="O107" i="49"/>
  <c r="O117" i="49"/>
  <c r="O116" i="49"/>
  <c r="O118" i="49"/>
  <c r="O121" i="49"/>
  <c r="F91" i="67"/>
  <c r="F900" i="67" s="1"/>
  <c r="H76" i="49" s="1"/>
  <c r="F248" i="67"/>
  <c r="F969" i="67" s="1"/>
  <c r="H149" i="49" s="1"/>
  <c r="F319" i="67"/>
  <c r="F996" i="67" s="1"/>
  <c r="H178" i="49" s="1"/>
  <c r="F818" i="59"/>
  <c r="F741" i="59" s="1"/>
  <c r="F134" i="49" s="1"/>
  <c r="F229" i="67"/>
  <c r="F950" i="67" s="1"/>
  <c r="H130" i="49" s="1"/>
  <c r="F326" i="67"/>
  <c r="F1003" i="67" s="1"/>
  <c r="H185" i="49" s="1"/>
  <c r="F92" i="67"/>
  <c r="F901" i="67" s="1"/>
  <c r="H77" i="49" s="1"/>
  <c r="F67" i="67"/>
  <c r="F876" i="67" s="1"/>
  <c r="H52" i="49" s="1"/>
  <c r="F249" i="67"/>
  <c r="F970" i="67" s="1"/>
  <c r="H150" i="49" s="1"/>
  <c r="F63" i="67"/>
  <c r="F872" i="67" s="1"/>
  <c r="H48" i="49" s="1"/>
  <c r="F358" i="59"/>
  <c r="F281" i="59" s="1"/>
  <c r="F66" i="49" s="1"/>
  <c r="F73" i="67"/>
  <c r="F882" i="67" s="1"/>
  <c r="H58" i="49" s="1"/>
  <c r="F335" i="67"/>
  <c r="F1012" i="67" s="1"/>
  <c r="H194" i="49" s="1"/>
  <c r="F242" i="67"/>
  <c r="F963" i="67" s="1"/>
  <c r="H143" i="49" s="1"/>
  <c r="F154" i="67"/>
  <c r="F919" i="67" s="1"/>
  <c r="H97" i="49" s="1"/>
  <c r="F829" i="59"/>
  <c r="F752" i="59" s="1"/>
  <c r="F145" i="49" s="1"/>
  <c r="F333" i="67"/>
  <c r="F1010" i="67" s="1"/>
  <c r="H192" i="49" s="1"/>
  <c r="F345" i="67"/>
  <c r="F1022" i="67" s="1"/>
  <c r="H204" i="49" s="1"/>
  <c r="F238" i="67"/>
  <c r="F959" i="67" s="1"/>
  <c r="H139" i="49" s="1"/>
  <c r="F317" i="67"/>
  <c r="F994" i="67" s="1"/>
  <c r="H176" i="49" s="1"/>
  <c r="F170" i="67"/>
  <c r="F935" i="67" s="1"/>
  <c r="H113" i="49" s="1"/>
  <c r="F160" i="67"/>
  <c r="F925" i="67" s="1"/>
  <c r="H103" i="49" s="1"/>
  <c r="F244" i="67"/>
  <c r="F965" i="67" s="1"/>
  <c r="H145" i="49" s="1"/>
  <c r="F1075" i="59"/>
  <c r="F998" i="59" s="1"/>
  <c r="F195" i="49" s="1"/>
  <c r="F823" i="59"/>
  <c r="F746" i="59" s="1"/>
  <c r="F139" i="49" s="1"/>
  <c r="F75" i="67"/>
  <c r="F884" i="67" s="1"/>
  <c r="H60" i="49" s="1"/>
  <c r="F344" i="67"/>
  <c r="F1021" i="67" s="1"/>
  <c r="H203" i="49" s="1"/>
  <c r="F838" i="59"/>
  <c r="F761" i="59" s="1"/>
  <c r="F154" i="49" s="1"/>
  <c r="F79" i="67"/>
  <c r="F888" i="67" s="1"/>
  <c r="H64" i="49" s="1"/>
  <c r="F1067" i="59"/>
  <c r="F990" i="59" s="1"/>
  <c r="F187" i="49" s="1"/>
  <c r="F146" i="67"/>
  <c r="F911" i="67" s="1"/>
  <c r="H89" i="49" s="1"/>
  <c r="F1053" i="59"/>
  <c r="F976" i="59" s="1"/>
  <c r="F173" i="49" s="1"/>
  <c r="F168" i="67"/>
  <c r="F933" i="67" s="1"/>
  <c r="H111" i="49" s="1"/>
  <c r="F1077" i="59"/>
  <c r="F1000" i="59" s="1"/>
  <c r="F197" i="49" s="1"/>
  <c r="F328" i="67"/>
  <c r="F1005" i="67" s="1"/>
  <c r="H187" i="49" s="1"/>
  <c r="F165" i="67"/>
  <c r="F930" i="67" s="1"/>
  <c r="H108" i="49" s="1"/>
  <c r="F253" i="67"/>
  <c r="F974" i="67" s="1"/>
  <c r="H154" i="49" s="1"/>
  <c r="F87" i="67"/>
  <c r="F896" i="67" s="1"/>
  <c r="H72" i="49" s="1"/>
  <c r="F594" i="59"/>
  <c r="F517" i="59" s="1"/>
  <c r="F106" i="49" s="1"/>
  <c r="F590" i="59"/>
  <c r="F513" i="59" s="1"/>
  <c r="F102" i="49" s="1"/>
  <c r="F579" i="59"/>
  <c r="F502" i="59" s="1"/>
  <c r="F91" i="49" s="1"/>
  <c r="F86" i="67"/>
  <c r="F895" i="67" s="1"/>
  <c r="H71" i="49" s="1"/>
  <c r="F337" i="67"/>
  <c r="F1014" i="67" s="1"/>
  <c r="H196" i="49" s="1"/>
  <c r="F69" i="67"/>
  <c r="F878" i="67" s="1"/>
  <c r="H54" i="49" s="1"/>
  <c r="F163" i="67"/>
  <c r="F928" i="67" s="1"/>
  <c r="H106" i="49" s="1"/>
  <c r="F336" i="67"/>
  <c r="F1013" i="67" s="1"/>
  <c r="H195" i="49" s="1"/>
  <c r="F169" i="67"/>
  <c r="F934" i="67" s="1"/>
  <c r="H112" i="49" s="1"/>
  <c r="F342" i="59"/>
  <c r="F265" i="59" s="1"/>
  <c r="F50" i="49" s="1"/>
  <c r="F172" i="67"/>
  <c r="F937" i="67" s="1"/>
  <c r="H115" i="49" s="1"/>
  <c r="F329" i="67"/>
  <c r="F1006" i="67" s="1"/>
  <c r="H188" i="49" s="1"/>
  <c r="F342" i="67"/>
  <c r="F1019" i="67" s="1"/>
  <c r="H201" i="49" s="1"/>
  <c r="F367" i="59"/>
  <c r="F290" i="59" s="1"/>
  <c r="F75" i="49" s="1"/>
  <c r="F580" i="59"/>
  <c r="F503" i="59" s="1"/>
  <c r="F92" i="49" s="1"/>
  <c r="F822" i="59"/>
  <c r="F745" i="59" s="1"/>
  <c r="F138" i="49" s="1"/>
  <c r="F340" i="67"/>
  <c r="F1017" i="67" s="1"/>
  <c r="H199" i="49" s="1"/>
  <c r="F157" i="67"/>
  <c r="F922" i="67" s="1"/>
  <c r="H100" i="49" s="1"/>
  <c r="F243" i="67"/>
  <c r="F964" i="67" s="1"/>
  <c r="H144" i="49" s="1"/>
  <c r="F325" i="67"/>
  <c r="F1002" i="67" s="1"/>
  <c r="H184" i="49" s="1"/>
  <c r="F84" i="67"/>
  <c r="F893" i="67" s="1"/>
  <c r="H69" i="49" s="1"/>
  <c r="F78" i="67"/>
  <c r="F887" i="67" s="1"/>
  <c r="H63" i="49" s="1"/>
  <c r="F350" i="59"/>
  <c r="F273" i="59" s="1"/>
  <c r="F58" i="49" s="1"/>
  <c r="F587" i="59"/>
  <c r="F510" i="59" s="1"/>
  <c r="F99" i="49" s="1"/>
  <c r="F339" i="59"/>
  <c r="F262" i="59" s="1"/>
  <c r="F47" i="49" s="1"/>
  <c r="F234" i="67"/>
  <c r="F955" i="67" s="1"/>
  <c r="H135" i="49" s="1"/>
  <c r="F577" i="59"/>
  <c r="F500" i="59" s="1"/>
  <c r="F89" i="49" s="1"/>
  <c r="F72" i="67"/>
  <c r="F881" i="67" s="1"/>
  <c r="H57" i="49" s="1"/>
  <c r="F322" i="67"/>
  <c r="F999" i="67" s="1"/>
  <c r="H181" i="49" s="1"/>
  <c r="F151" i="67"/>
  <c r="F916" i="67" s="1"/>
  <c r="H94" i="49" s="1"/>
  <c r="F1052" i="59"/>
  <c r="F975" i="59" s="1"/>
  <c r="F172" i="49" s="1"/>
  <c r="F174" i="67"/>
  <c r="F939" i="67" s="1"/>
  <c r="H117" i="49" s="1"/>
  <c r="F166" i="67"/>
  <c r="F931" i="67" s="1"/>
  <c r="H109" i="49" s="1"/>
  <c r="F321" i="67"/>
  <c r="F998" i="67" s="1"/>
  <c r="H180" i="49" s="1"/>
  <c r="F1071" i="59"/>
  <c r="F994" i="59" s="1"/>
  <c r="F191" i="49" s="1"/>
  <c r="F341" i="67"/>
  <c r="F1018" i="67" s="1"/>
  <c r="H200" i="49" s="1"/>
  <c r="F149" i="67"/>
  <c r="F914" i="67" s="1"/>
  <c r="H92" i="49" s="1"/>
  <c r="F152" i="67"/>
  <c r="F917" i="67" s="1"/>
  <c r="H95" i="49" s="1"/>
  <c r="F816" i="59"/>
  <c r="F739" i="59" s="1"/>
  <c r="F132" i="49" s="1"/>
  <c r="F346" i="67"/>
  <c r="F1023" i="67" s="1"/>
  <c r="H205" i="49" s="1"/>
  <c r="F343" i="67"/>
  <c r="F1020" i="67" s="1"/>
  <c r="H202" i="49" s="1"/>
  <c r="F155" i="67"/>
  <c r="F920" i="67" s="1"/>
  <c r="H98" i="49" s="1"/>
  <c r="F820" i="59"/>
  <c r="F743" i="59" s="1"/>
  <c r="F136" i="49" s="1"/>
  <c r="F65" i="67"/>
  <c r="F874" i="67" s="1"/>
  <c r="H50" i="49" s="1"/>
  <c r="F1063" i="59"/>
  <c r="F986" i="59" s="1"/>
  <c r="F183" i="49" s="1"/>
  <c r="F359" i="59"/>
  <c r="F282" i="59" s="1"/>
  <c r="F67" i="49" s="1"/>
  <c r="H418" i="59"/>
  <c r="H575" i="59"/>
  <c r="H574" i="59" s="1"/>
  <c r="F167" i="67"/>
  <c r="F932" i="67" s="1"/>
  <c r="H110" i="49" s="1"/>
  <c r="F355" i="59"/>
  <c r="F278" i="59" s="1"/>
  <c r="F63" i="49" s="1"/>
  <c r="F85" i="67"/>
  <c r="F894" i="67" s="1"/>
  <c r="H70" i="49" s="1"/>
  <c r="F88" i="67"/>
  <c r="F897" i="67" s="1"/>
  <c r="H73" i="49" s="1"/>
  <c r="F814" i="59"/>
  <c r="F737" i="59" s="1"/>
  <c r="F130" i="49" s="1"/>
  <c r="I337" i="59"/>
  <c r="I336" i="59" s="1"/>
  <c r="I180" i="59"/>
  <c r="F585" i="59"/>
  <c r="F508" i="59" s="1"/>
  <c r="F97" i="49" s="1"/>
  <c r="K148" i="49"/>
  <c r="F156" i="67"/>
  <c r="F921" i="67" s="1"/>
  <c r="H99" i="49" s="1"/>
  <c r="Q337" i="59"/>
  <c r="Q336" i="59" s="1"/>
  <c r="Q180" i="59"/>
  <c r="F369" i="59"/>
  <c r="F292" i="59" s="1"/>
  <c r="F77" i="49" s="1"/>
  <c r="F609" i="59"/>
  <c r="F532" i="59" s="1"/>
  <c r="F121" i="49" s="1"/>
  <c r="H104" i="67"/>
  <c r="H143" i="67" s="1"/>
  <c r="H144" i="67"/>
  <c r="F239" i="67"/>
  <c r="F960" i="67" s="1"/>
  <c r="H140" i="49" s="1"/>
  <c r="L228" i="67"/>
  <c r="L188" i="67"/>
  <c r="L227" i="67" s="1"/>
  <c r="F605" i="59"/>
  <c r="F528" i="59" s="1"/>
  <c r="F117" i="49" s="1"/>
  <c r="F1090" i="59"/>
  <c r="F1089" i="59" s="1"/>
  <c r="G1089" i="59"/>
  <c r="K135" i="49"/>
  <c r="F327" i="67"/>
  <c r="F1004" i="67" s="1"/>
  <c r="H186" i="49" s="1"/>
  <c r="G418" i="59"/>
  <c r="G575" i="59"/>
  <c r="F840" i="59"/>
  <c r="F763" i="59" s="1"/>
  <c r="F156" i="49" s="1"/>
  <c r="F66" i="67"/>
  <c r="F875" i="67" s="1"/>
  <c r="H51" i="49" s="1"/>
  <c r="F323" i="67"/>
  <c r="F1000" i="67" s="1"/>
  <c r="H182" i="49" s="1"/>
  <c r="F90" i="67"/>
  <c r="F899" i="67" s="1"/>
  <c r="H75" i="49" s="1"/>
  <c r="F320" i="67"/>
  <c r="F997" i="67" s="1"/>
  <c r="H179" i="49" s="1"/>
  <c r="F150" i="67"/>
  <c r="F915" i="67" s="1"/>
  <c r="H93" i="49" s="1"/>
  <c r="K163" i="49"/>
  <c r="F64" i="67"/>
  <c r="F873" i="67" s="1"/>
  <c r="H49" i="49" s="1"/>
  <c r="F349" i="59"/>
  <c r="F272" i="59" s="1"/>
  <c r="F57" i="49" s="1"/>
  <c r="F830" i="59"/>
  <c r="F753" i="59" s="1"/>
  <c r="F146" i="49" s="1"/>
  <c r="F1068" i="59"/>
  <c r="F991" i="59" s="1"/>
  <c r="F188" i="49" s="1"/>
  <c r="F354" i="59"/>
  <c r="F277" i="59" s="1"/>
  <c r="F62" i="49" s="1"/>
  <c r="F609" i="54"/>
  <c r="F492" i="54"/>
  <c r="M228" i="67"/>
  <c r="M188" i="67"/>
  <c r="M227" i="67" s="1"/>
  <c r="F1072" i="59"/>
  <c r="F995" i="59" s="1"/>
  <c r="F192" i="49" s="1"/>
  <c r="F164" i="67"/>
  <c r="F929" i="67" s="1"/>
  <c r="H107" i="49" s="1"/>
  <c r="F604" i="59"/>
  <c r="F527" i="59" s="1"/>
  <c r="F116" i="49" s="1"/>
  <c r="F177" i="67"/>
  <c r="F942" i="67" s="1"/>
  <c r="H120" i="49" s="1"/>
  <c r="F827" i="59"/>
  <c r="F750" i="59" s="1"/>
  <c r="F143" i="49" s="1"/>
  <c r="F357" i="59"/>
  <c r="F280" i="59" s="1"/>
  <c r="F65" i="49" s="1"/>
  <c r="F153" i="67"/>
  <c r="F918" i="67" s="1"/>
  <c r="H96" i="49" s="1"/>
  <c r="F593" i="59"/>
  <c r="F516" i="59" s="1"/>
  <c r="F105" i="49" s="1"/>
  <c r="F1070" i="59"/>
  <c r="F993" i="59" s="1"/>
  <c r="F190" i="49" s="1"/>
  <c r="F596" i="59"/>
  <c r="F519" i="59" s="1"/>
  <c r="F108" i="49" s="1"/>
  <c r="F606" i="59"/>
  <c r="F529" i="59" s="1"/>
  <c r="F118" i="49" s="1"/>
  <c r="I60" i="67"/>
  <c r="I20" i="67"/>
  <c r="I59" i="67" s="1"/>
  <c r="F161" i="67"/>
  <c r="F926" i="67" s="1"/>
  <c r="H104" i="49" s="1"/>
  <c r="F257" i="67"/>
  <c r="F978" i="67" s="1"/>
  <c r="H158" i="49" s="1"/>
  <c r="F259" i="67"/>
  <c r="F980" i="67" s="1"/>
  <c r="H160" i="49" s="1"/>
  <c r="K131" i="49"/>
  <c r="F171" i="67"/>
  <c r="F936" i="67" s="1"/>
  <c r="H114" i="49" s="1"/>
  <c r="F230" i="67"/>
  <c r="F951" i="67" s="1"/>
  <c r="H131" i="49" s="1"/>
  <c r="F352" i="59"/>
  <c r="F275" i="59" s="1"/>
  <c r="F60" i="49" s="1"/>
  <c r="M60" i="67"/>
  <c r="M20" i="67"/>
  <c r="M59" i="67" s="1"/>
  <c r="F1054" i="59"/>
  <c r="F977" i="59" s="1"/>
  <c r="F174" i="49" s="1"/>
  <c r="F351" i="59"/>
  <c r="F274" i="59" s="1"/>
  <c r="F59" i="49" s="1"/>
  <c r="F82" i="67"/>
  <c r="F891" i="67" s="1"/>
  <c r="H67" i="49" s="1"/>
  <c r="F831" i="59"/>
  <c r="F754" i="59" s="1"/>
  <c r="F147" i="49" s="1"/>
  <c r="K130" i="49"/>
  <c r="F591" i="59"/>
  <c r="F514" i="59" s="1"/>
  <c r="F103" i="49" s="1"/>
  <c r="F135" i="54"/>
  <c r="F18" i="54"/>
  <c r="I272" i="67"/>
  <c r="I311" i="67" s="1"/>
  <c r="I312" i="67"/>
  <c r="F353" i="59"/>
  <c r="F276" i="59" s="1"/>
  <c r="F61" i="49" s="1"/>
  <c r="F835" i="59"/>
  <c r="F758" i="59" s="1"/>
  <c r="F151" i="49" s="1"/>
  <c r="F844" i="59"/>
  <c r="F767" i="59" s="1"/>
  <c r="F160" i="49" s="1"/>
  <c r="F98" i="73"/>
  <c r="P418" i="59"/>
  <c r="P575" i="59"/>
  <c r="P574" i="59" s="1"/>
  <c r="F1058" i="59"/>
  <c r="F981" i="59" s="1"/>
  <c r="F178" i="49" s="1"/>
  <c r="F240" i="67"/>
  <c r="F961" i="67" s="1"/>
  <c r="H141" i="49" s="1"/>
  <c r="F316" i="67"/>
  <c r="F993" i="67" s="1"/>
  <c r="H175" i="49" s="1"/>
  <c r="F76" i="67"/>
  <c r="F885" i="67" s="1"/>
  <c r="H61" i="49" s="1"/>
  <c r="F1059" i="59"/>
  <c r="F982" i="59" s="1"/>
  <c r="F179" i="49" s="1"/>
  <c r="F833" i="59"/>
  <c r="F756" i="59" s="1"/>
  <c r="F149" i="49" s="1"/>
  <c r="F1056" i="59"/>
  <c r="F979" i="59" s="1"/>
  <c r="F176" i="49" s="1"/>
  <c r="F235" i="67"/>
  <c r="F956" i="67" s="1"/>
  <c r="H136" i="49" s="1"/>
  <c r="F1064" i="59"/>
  <c r="F987" i="59" s="1"/>
  <c r="F184" i="49" s="1"/>
  <c r="F837" i="59"/>
  <c r="F760" i="59" s="1"/>
  <c r="F153" i="49" s="1"/>
  <c r="F576" i="59"/>
  <c r="F499" i="59" s="1"/>
  <c r="F827" i="67"/>
  <c r="Q813" i="59"/>
  <c r="Q812" i="59" s="1"/>
  <c r="Q656" i="59"/>
  <c r="F1085" i="59"/>
  <c r="F1008" i="59" s="1"/>
  <c r="F205" i="49" s="1"/>
  <c r="F313" i="67"/>
  <c r="F990" i="67" s="1"/>
  <c r="H172" i="49" s="1"/>
  <c r="F598" i="59"/>
  <c r="F521" i="59" s="1"/>
  <c r="F110" i="49" s="1"/>
  <c r="F330" i="67"/>
  <c r="F1007" i="67" s="1"/>
  <c r="H189" i="49" s="1"/>
  <c r="F148" i="67"/>
  <c r="F913" i="67" s="1"/>
  <c r="H91" i="49" s="1"/>
  <c r="F841" i="59"/>
  <c r="F764" i="59" s="1"/>
  <c r="F157" i="49" s="1"/>
  <c r="F836" i="59"/>
  <c r="F759" i="59" s="1"/>
  <c r="F152" i="49" s="1"/>
  <c r="F62" i="67"/>
  <c r="F871" i="67" s="1"/>
  <c r="H47" i="49" s="1"/>
  <c r="F602" i="59"/>
  <c r="F525" i="59" s="1"/>
  <c r="F114" i="49" s="1"/>
  <c r="F578" i="59"/>
  <c r="F501" i="59" s="1"/>
  <c r="F90" i="49" s="1"/>
  <c r="F173" i="67"/>
  <c r="F938" i="67" s="1"/>
  <c r="H116" i="49" s="1"/>
  <c r="F331" i="67"/>
  <c r="F1008" i="67" s="1"/>
  <c r="H190" i="49" s="1"/>
  <c r="F839" i="59"/>
  <c r="F762" i="59" s="1"/>
  <c r="F155" i="49" s="1"/>
  <c r="F314" i="67"/>
  <c r="F991" i="67" s="1"/>
  <c r="H173" i="49" s="1"/>
  <c r="K159" i="49"/>
  <c r="F338" i="67"/>
  <c r="F1015" i="67" s="1"/>
  <c r="H197" i="49" s="1"/>
  <c r="F250" i="67"/>
  <c r="F971" i="67" s="1"/>
  <c r="H151" i="49" s="1"/>
  <c r="F30" i="73"/>
  <c r="F595" i="59"/>
  <c r="F518" i="59" s="1"/>
  <c r="F107" i="49" s="1"/>
  <c r="F344" i="59"/>
  <c r="F267" i="59" s="1"/>
  <c r="F52" i="49" s="1"/>
  <c r="F71" i="67"/>
  <c r="F880" i="67" s="1"/>
  <c r="H56" i="49" s="1"/>
  <c r="I1051" i="59"/>
  <c r="I1050" i="59" s="1"/>
  <c r="I894" i="59"/>
  <c r="L104" i="67"/>
  <c r="L143" i="67" s="1"/>
  <c r="L144" i="67"/>
  <c r="F318" i="67"/>
  <c r="F995" i="67" s="1"/>
  <c r="H177" i="49" s="1"/>
  <c r="F366" i="59"/>
  <c r="F289" i="59" s="1"/>
  <c r="F74" i="49" s="1"/>
  <c r="F236" i="67"/>
  <c r="F957" i="67" s="1"/>
  <c r="H137" i="49" s="1"/>
  <c r="F582" i="59"/>
  <c r="F505" i="59" s="1"/>
  <c r="F94" i="49" s="1"/>
  <c r="F176" i="67"/>
  <c r="F941" i="67" s="1"/>
  <c r="H119" i="49" s="1"/>
  <c r="F341" i="59"/>
  <c r="F264" i="59" s="1"/>
  <c r="F49" i="49" s="1"/>
  <c r="H312" i="67"/>
  <c r="H272" i="67"/>
  <c r="H311" i="67" s="1"/>
  <c r="F846" i="59"/>
  <c r="F769" i="59" s="1"/>
  <c r="F162" i="49" s="1"/>
  <c r="F370" i="59"/>
  <c r="F293" i="59" s="1"/>
  <c r="F78" i="49" s="1"/>
  <c r="F346" i="59"/>
  <c r="F269" i="59" s="1"/>
  <c r="F54" i="49" s="1"/>
  <c r="F451" i="54"/>
  <c r="F334" i="54"/>
  <c r="F262" i="67"/>
  <c r="F983" i="67" s="1"/>
  <c r="H163" i="49" s="1"/>
  <c r="F828" i="59"/>
  <c r="F751" i="59" s="1"/>
  <c r="F144" i="49" s="1"/>
  <c r="I188" i="67"/>
  <c r="I227" i="67" s="1"/>
  <c r="I228" i="67"/>
  <c r="F251" i="67"/>
  <c r="F972" i="67" s="1"/>
  <c r="H152" i="49" s="1"/>
  <c r="F597" i="59"/>
  <c r="F520" i="59" s="1"/>
  <c r="F109" i="49" s="1"/>
  <c r="F584" i="59"/>
  <c r="F507" i="59" s="1"/>
  <c r="F96" i="49" s="1"/>
  <c r="F1069" i="59"/>
  <c r="F992" i="59" s="1"/>
  <c r="F189" i="49" s="1"/>
  <c r="F1082" i="59"/>
  <c r="F1005" i="59" s="1"/>
  <c r="F202" i="49" s="1"/>
  <c r="F256" i="67"/>
  <c r="F977" i="67" s="1"/>
  <c r="H157" i="49" s="1"/>
  <c r="F583" i="59"/>
  <c r="F506" i="59" s="1"/>
  <c r="F95" i="49" s="1"/>
  <c r="F231" i="67"/>
  <c r="F952" i="67" s="1"/>
  <c r="H132" i="49" s="1"/>
  <c r="F834" i="59"/>
  <c r="F757" i="59" s="1"/>
  <c r="F150" i="49" s="1"/>
  <c r="F339" i="67"/>
  <c r="F1016" i="67" s="1"/>
  <c r="H198" i="49" s="1"/>
  <c r="F376" i="59"/>
  <c r="F375" i="59" s="1"/>
  <c r="F12" i="59" s="1"/>
  <c r="G375" i="59"/>
  <c r="F614" i="59"/>
  <c r="F613" i="59" s="1"/>
  <c r="F13" i="59" s="1"/>
  <c r="M84" i="49" s="1"/>
  <c r="G613" i="59"/>
  <c r="F338" i="59"/>
  <c r="F261" i="59" s="1"/>
  <c r="F345" i="59"/>
  <c r="F268" i="59" s="1"/>
  <c r="F53" i="49" s="1"/>
  <c r="F832" i="59"/>
  <c r="F755" i="59" s="1"/>
  <c r="F148" i="49" s="1"/>
  <c r="K152" i="49"/>
  <c r="H180" i="59"/>
  <c r="H337" i="59"/>
  <c r="H336" i="59" s="1"/>
  <c r="F825" i="59"/>
  <c r="F748" i="59" s="1"/>
  <c r="F141" i="49" s="1"/>
  <c r="Q894" i="59"/>
  <c r="Q1051" i="59"/>
  <c r="Q1050" i="59" s="1"/>
  <c r="F845" i="59"/>
  <c r="F768" i="59" s="1"/>
  <c r="F161" i="49" s="1"/>
  <c r="P656" i="59"/>
  <c r="P813" i="59"/>
  <c r="P812" i="59" s="1"/>
  <c r="F343" i="59"/>
  <c r="F266" i="59" s="1"/>
  <c r="F51" i="49" s="1"/>
  <c r="F819" i="59"/>
  <c r="F742" i="59" s="1"/>
  <c r="F135" i="49" s="1"/>
  <c r="F824" i="59"/>
  <c r="F747" i="59" s="1"/>
  <c r="F140" i="49" s="1"/>
  <c r="F601" i="59"/>
  <c r="F524" i="59" s="1"/>
  <c r="F113" i="49" s="1"/>
  <c r="F315" i="67"/>
  <c r="F992" i="67" s="1"/>
  <c r="H174" i="49" s="1"/>
  <c r="O894" i="59"/>
  <c r="O1051" i="59"/>
  <c r="O1050" i="59" s="1"/>
  <c r="F334" i="67"/>
  <c r="F1011" i="67" s="1"/>
  <c r="H193" i="49" s="1"/>
  <c r="F332" i="67"/>
  <c r="F1009" i="67" s="1"/>
  <c r="H191" i="49" s="1"/>
  <c r="F241" i="67"/>
  <c r="F962" i="67" s="1"/>
  <c r="H142" i="49" s="1"/>
  <c r="H1051" i="59"/>
  <c r="H1050" i="59" s="1"/>
  <c r="H894" i="59"/>
  <c r="F1073" i="59"/>
  <c r="F996" i="59" s="1"/>
  <c r="F193" i="49" s="1"/>
  <c r="F1057" i="59"/>
  <c r="F980" i="59" s="1"/>
  <c r="F177" i="49" s="1"/>
  <c r="F77" i="67"/>
  <c r="F886" i="67" s="1"/>
  <c r="H62" i="49" s="1"/>
  <c r="F255" i="67"/>
  <c r="F976" i="67" s="1"/>
  <c r="H156" i="49" s="1"/>
  <c r="I813" i="59"/>
  <c r="I812" i="59" s="1"/>
  <c r="I656" i="59"/>
  <c r="F147" i="67"/>
  <c r="F912" i="67" s="1"/>
  <c r="H90" i="49" s="1"/>
  <c r="H188" i="67"/>
  <c r="H227" i="67" s="1"/>
  <c r="H228" i="67"/>
  <c r="O180" i="59"/>
  <c r="O337" i="59"/>
  <c r="O336" i="59" s="1"/>
  <c r="F781" i="67"/>
  <c r="F166" i="73"/>
  <c r="P337" i="59"/>
  <c r="P336" i="59" s="1"/>
  <c r="P180" i="59"/>
  <c r="F368" i="59"/>
  <c r="F291" i="59" s="1"/>
  <c r="F76" i="49" s="1"/>
  <c r="F233" i="67"/>
  <c r="F954" i="67" s="1"/>
  <c r="H134" i="49" s="1"/>
  <c r="F74" i="67"/>
  <c r="F883" i="67" s="1"/>
  <c r="H59" i="49" s="1"/>
  <c r="F175" i="67"/>
  <c r="F940" i="67" s="1"/>
  <c r="H118" i="49" s="1"/>
  <c r="H60" i="67"/>
  <c r="H20" i="67"/>
  <c r="H59" i="67" s="1"/>
  <c r="K154" i="49"/>
  <c r="F821" i="59"/>
  <c r="F744" i="59" s="1"/>
  <c r="F137" i="49" s="1"/>
  <c r="F232" i="67"/>
  <c r="F953" i="67" s="1"/>
  <c r="H133" i="49" s="1"/>
  <c r="M272" i="67"/>
  <c r="M311" i="67" s="1"/>
  <c r="M312" i="67"/>
  <c r="F93" i="67"/>
  <c r="F902" i="67" s="1"/>
  <c r="H78" i="49" s="1"/>
  <c r="F1062" i="59"/>
  <c r="F985" i="59" s="1"/>
  <c r="F182" i="49" s="1"/>
  <c r="F70" i="67"/>
  <c r="F879" i="67" s="1"/>
  <c r="H55" i="49" s="1"/>
  <c r="L272" i="67"/>
  <c r="L311" i="67" s="1"/>
  <c r="L312" i="67"/>
  <c r="F340" i="59"/>
  <c r="F263" i="59" s="1"/>
  <c r="F48" i="49" s="1"/>
  <c r="F1061" i="59"/>
  <c r="F984" i="59" s="1"/>
  <c r="F181" i="49" s="1"/>
  <c r="F1080" i="59"/>
  <c r="F1003" i="59" s="1"/>
  <c r="F200" i="49" s="1"/>
  <c r="F260" i="67"/>
  <c r="F981" i="67" s="1"/>
  <c r="H161" i="49" s="1"/>
  <c r="F234" i="73"/>
  <c r="F847" i="59"/>
  <c r="F770" i="59" s="1"/>
  <c r="F163" i="49" s="1"/>
  <c r="F252" i="67"/>
  <c r="F973" i="67" s="1"/>
  <c r="H153" i="49" s="1"/>
  <c r="F261" i="67"/>
  <c r="F982" i="67" s="1"/>
  <c r="H162" i="49" s="1"/>
  <c r="F159" i="67"/>
  <c r="F924" i="67" s="1"/>
  <c r="H102" i="49" s="1"/>
  <c r="F586" i="59"/>
  <c r="F509" i="59" s="1"/>
  <c r="F98" i="49" s="1"/>
  <c r="F581" i="59"/>
  <c r="F504" i="59" s="1"/>
  <c r="F93" i="49" s="1"/>
  <c r="F1066" i="59"/>
  <c r="F989" i="59" s="1"/>
  <c r="F186" i="49" s="1"/>
  <c r="F158" i="67"/>
  <c r="F923" i="67" s="1"/>
  <c r="H101" i="49" s="1"/>
  <c r="F145" i="67"/>
  <c r="F910" i="67" s="1"/>
  <c r="H88" i="49" s="1"/>
  <c r="F1076" i="59"/>
  <c r="F999" i="59" s="1"/>
  <c r="F196" i="49" s="1"/>
  <c r="Q418" i="59"/>
  <c r="Q575" i="59"/>
  <c r="Q574" i="59" s="1"/>
  <c r="F362" i="59"/>
  <c r="F285" i="59" s="1"/>
  <c r="F70" i="49" s="1"/>
  <c r="K144" i="49"/>
  <c r="F1065" i="59"/>
  <c r="F988" i="59" s="1"/>
  <c r="F185" i="49" s="1"/>
  <c r="F371" i="59"/>
  <c r="F294" i="59" s="1"/>
  <c r="F79" i="49" s="1"/>
  <c r="F1060" i="59"/>
  <c r="F983" i="59" s="1"/>
  <c r="F180" i="49" s="1"/>
  <c r="H656" i="59"/>
  <c r="H813" i="59"/>
  <c r="H812" i="59" s="1"/>
  <c r="F843" i="59"/>
  <c r="F766" i="59" s="1"/>
  <c r="F159" i="49" s="1"/>
  <c r="G656" i="59"/>
  <c r="G813" i="59"/>
  <c r="L20" i="67"/>
  <c r="L59" i="67" s="1"/>
  <c r="L60" i="67"/>
  <c r="F247" i="67"/>
  <c r="F968" i="67" s="1"/>
  <c r="H148" i="49" s="1"/>
  <c r="F258" i="67"/>
  <c r="F979" i="67" s="1"/>
  <c r="H159" i="49" s="1"/>
  <c r="F1078" i="59"/>
  <c r="F1001" i="59" s="1"/>
  <c r="F198" i="49" s="1"/>
  <c r="I144" i="67"/>
  <c r="I104" i="67"/>
  <c r="I143" i="67" s="1"/>
  <c r="F1084" i="59"/>
  <c r="F1007" i="59" s="1"/>
  <c r="F204" i="49" s="1"/>
  <c r="F365" i="59"/>
  <c r="F288" i="59" s="1"/>
  <c r="F73" i="49" s="1"/>
  <c r="F1074" i="59"/>
  <c r="F997" i="59" s="1"/>
  <c r="F194" i="49" s="1"/>
  <c r="F254" i="67"/>
  <c r="F975" i="67" s="1"/>
  <c r="H155" i="49" s="1"/>
  <c r="K153" i="49"/>
  <c r="F592" i="59"/>
  <c r="F515" i="59" s="1"/>
  <c r="F104" i="49" s="1"/>
  <c r="F735" i="67"/>
  <c r="F347" i="59"/>
  <c r="F270" i="59" s="1"/>
  <c r="F55" i="49" s="1"/>
  <c r="O813" i="59"/>
  <c r="O812" i="59" s="1"/>
  <c r="O656" i="59"/>
  <c r="F815" i="59"/>
  <c r="F738" i="59" s="1"/>
  <c r="F131" i="49" s="1"/>
  <c r="F363" i="59"/>
  <c r="F286" i="59" s="1"/>
  <c r="F71" i="49" s="1"/>
  <c r="F1055" i="59"/>
  <c r="F978" i="59" s="1"/>
  <c r="F175" i="49" s="1"/>
  <c r="F1083" i="59"/>
  <c r="F1006" i="59" s="1"/>
  <c r="F203" i="49" s="1"/>
  <c r="F842" i="59"/>
  <c r="F765" i="59" s="1"/>
  <c r="F158" i="49" s="1"/>
  <c r="P1051" i="59"/>
  <c r="P1050" i="59" s="1"/>
  <c r="P894" i="59"/>
  <c r="F607" i="59"/>
  <c r="F530" i="59" s="1"/>
  <c r="F119" i="49" s="1"/>
  <c r="G1051" i="59"/>
  <c r="G894" i="59"/>
  <c r="F817" i="59"/>
  <c r="F740" i="59" s="1"/>
  <c r="F133" i="49" s="1"/>
  <c r="K157" i="49"/>
  <c r="O418" i="59"/>
  <c r="O575" i="59"/>
  <c r="O574" i="59" s="1"/>
  <c r="F83" i="67"/>
  <c r="F892" i="67" s="1"/>
  <c r="H68" i="49" s="1"/>
  <c r="F293" i="54"/>
  <c r="F176" i="54"/>
  <c r="F89" i="67"/>
  <c r="F898" i="67" s="1"/>
  <c r="H74" i="49" s="1"/>
  <c r="F361" i="59"/>
  <c r="F284" i="59" s="1"/>
  <c r="F69" i="49" s="1"/>
  <c r="F364" i="59"/>
  <c r="F287" i="59" s="1"/>
  <c r="F72" i="49" s="1"/>
  <c r="F245" i="67"/>
  <c r="F966" i="67" s="1"/>
  <c r="H146" i="49" s="1"/>
  <c r="M104" i="67"/>
  <c r="M143" i="67" s="1"/>
  <c r="M144" i="67"/>
  <c r="F360" i="59"/>
  <c r="F283" i="59" s="1"/>
  <c r="F68" i="49" s="1"/>
  <c r="K138" i="49"/>
  <c r="F162" i="67"/>
  <c r="F927" i="67" s="1"/>
  <c r="H105" i="49" s="1"/>
  <c r="F237" i="67"/>
  <c r="F958" i="67" s="1"/>
  <c r="H138" i="49" s="1"/>
  <c r="F1081" i="59"/>
  <c r="F1004" i="59" s="1"/>
  <c r="F201" i="49" s="1"/>
  <c r="F603" i="59"/>
  <c r="F526" i="59" s="1"/>
  <c r="F115" i="49" s="1"/>
  <c r="F589" i="59"/>
  <c r="F512" i="59" s="1"/>
  <c r="F101" i="49" s="1"/>
  <c r="F826" i="59"/>
  <c r="F749" i="59" s="1"/>
  <c r="F142" i="49" s="1"/>
  <c r="F61" i="67"/>
  <c r="F870" i="67" s="1"/>
  <c r="H46" i="49" s="1"/>
  <c r="F588" i="59"/>
  <c r="F511" i="59" s="1"/>
  <c r="F100" i="49" s="1"/>
  <c r="K146" i="49"/>
  <c r="G337" i="59"/>
  <c r="G180" i="59"/>
  <c r="F178" i="67"/>
  <c r="F943" i="67" s="1"/>
  <c r="H121" i="49" s="1"/>
  <c r="F94" i="67"/>
  <c r="F903" i="67" s="1"/>
  <c r="H79" i="49" s="1"/>
  <c r="F608" i="59"/>
  <c r="F531" i="59" s="1"/>
  <c r="F120" i="49" s="1"/>
  <c r="F68" i="67"/>
  <c r="F877" i="67" s="1"/>
  <c r="H53" i="49" s="1"/>
  <c r="F356" i="59"/>
  <c r="F279" i="59" s="1"/>
  <c r="F64" i="49" s="1"/>
  <c r="F81" i="67"/>
  <c r="F890" i="67" s="1"/>
  <c r="H66" i="49" s="1"/>
  <c r="F348" i="59"/>
  <c r="F271" i="59" s="1"/>
  <c r="F56" i="49" s="1"/>
  <c r="F1079" i="59"/>
  <c r="F1002" i="59" s="1"/>
  <c r="F199" i="49" s="1"/>
  <c r="F689" i="67"/>
  <c r="F600" i="59"/>
  <c r="F523" i="59" s="1"/>
  <c r="F112" i="49" s="1"/>
  <c r="I575" i="59"/>
  <c r="I574" i="59" s="1"/>
  <c r="I418" i="59"/>
  <c r="F80" i="67"/>
  <c r="F889" i="67" s="1"/>
  <c r="H65" i="49" s="1"/>
  <c r="F324" i="67"/>
  <c r="F1001" i="67" s="1"/>
  <c r="H183" i="49" s="1"/>
  <c r="K134" i="49"/>
  <c r="F246" i="67"/>
  <c r="F967" i="67" s="1"/>
  <c r="H147" i="49" s="1"/>
  <c r="F852" i="59"/>
  <c r="F851" i="59" s="1"/>
  <c r="G851" i="59"/>
  <c r="F599" i="59"/>
  <c r="F522" i="59" s="1"/>
  <c r="F111" i="49" s="1"/>
  <c r="F227" i="67" l="1"/>
  <c r="F7" i="67" s="1"/>
  <c r="H126" i="49" s="1"/>
  <c r="F60" i="67"/>
  <c r="F869" i="67" s="1"/>
  <c r="H45" i="49" s="1"/>
  <c r="G336" i="59"/>
  <c r="F337" i="59"/>
  <c r="G812" i="59"/>
  <c r="F813" i="59"/>
  <c r="F300" i="73"/>
  <c r="F59" i="67"/>
  <c r="F5" i="67" s="1"/>
  <c r="D45" i="49" a="1"/>
  <c r="D79" i="49" s="1"/>
  <c r="D45" i="49"/>
  <c r="F17" i="54"/>
  <c r="F7" i="54" s="1"/>
  <c r="D129" i="49" a="1"/>
  <c r="D150" i="49" s="1"/>
  <c r="D129" i="49"/>
  <c r="F333" i="54"/>
  <c r="F9" i="54" s="1"/>
  <c r="D126" i="49" s="1"/>
  <c r="K126" i="49" s="1"/>
  <c r="M42" i="49"/>
  <c r="F11" i="59"/>
  <c r="M37" i="49" s="1"/>
  <c r="D171" i="49" a="1"/>
  <c r="D171" i="49"/>
  <c r="K171" i="49" s="1"/>
  <c r="F491" i="54"/>
  <c r="F10" i="54" s="1"/>
  <c r="D168" i="49" s="1"/>
  <c r="K168" i="49" s="1"/>
  <c r="D87" i="49" a="1"/>
  <c r="D97" i="49" s="1"/>
  <c r="D87" i="49"/>
  <c r="F175" i="54"/>
  <c r="F8" i="54" s="1"/>
  <c r="D84" i="49" s="1"/>
  <c r="F228" i="67"/>
  <c r="F949" i="67" s="1"/>
  <c r="H129" i="49" s="1"/>
  <c r="G1050" i="59"/>
  <c r="F1051" i="59"/>
  <c r="F87" i="49" a="1"/>
  <c r="F88" i="49"/>
  <c r="G574" i="59"/>
  <c r="F575" i="59"/>
  <c r="F46" i="49"/>
  <c r="F311" i="67"/>
  <c r="F8" i="67" s="1"/>
  <c r="H168" i="49" s="1"/>
  <c r="F144" i="67"/>
  <c r="F909" i="67" s="1"/>
  <c r="H87" i="49" s="1"/>
  <c r="F312" i="67"/>
  <c r="F989" i="67" s="1"/>
  <c r="H171" i="49" s="1"/>
  <c r="F143" i="67"/>
  <c r="F6" i="67" s="1"/>
  <c r="H84" i="49" s="1"/>
  <c r="K129" i="49" l="1"/>
  <c r="F736" i="59"/>
  <c r="F812" i="59"/>
  <c r="K150" i="49"/>
  <c r="F974" i="59"/>
  <c r="F1050" i="59"/>
  <c r="F6" i="54"/>
  <c r="D37" i="49" s="1"/>
  <c r="D42" i="49"/>
  <c r="H42" i="49"/>
  <c r="F4" i="67"/>
  <c r="H37" i="49" s="1"/>
  <c r="F260" i="59"/>
  <c r="F336" i="59"/>
  <c r="F498" i="59"/>
  <c r="F574" i="59"/>
  <c r="F497" i="59" l="1"/>
  <c r="F6" i="59" s="1"/>
  <c r="F87" i="49"/>
  <c r="F171" i="49" a="1"/>
  <c r="F171" i="49"/>
  <c r="F973" i="59"/>
  <c r="F8" i="59" s="1"/>
  <c r="F45" i="49"/>
  <c r="F259" i="59"/>
  <c r="F5" i="59" s="1"/>
  <c r="F735" i="59"/>
  <c r="F7" i="59" s="1"/>
  <c r="F129" i="49"/>
  <c r="F126" i="49" l="1"/>
  <c r="F170" i="73"/>
  <c r="F168" i="73" s="1"/>
  <c r="F34" i="73"/>
  <c r="F32" i="73" s="1"/>
  <c r="F42" i="49"/>
  <c r="F4" i="59"/>
  <c r="F168" i="49"/>
  <c r="F238" i="73"/>
  <c r="F236" i="73" s="1"/>
  <c r="F84" i="49"/>
  <c r="F102" i="73"/>
  <c r="F100" i="73" s="1"/>
  <c r="G195" i="49" l="1"/>
  <c r="J195" i="49" s="1"/>
  <c r="G190" i="49"/>
  <c r="J190" i="49" s="1"/>
  <c r="G183" i="49"/>
  <c r="J183" i="49" s="1"/>
  <c r="G174" i="49"/>
  <c r="J174" i="49" s="1"/>
  <c r="G184" i="49"/>
  <c r="J184" i="49" s="1"/>
  <c r="G181" i="49"/>
  <c r="J181" i="49" s="1"/>
  <c r="G198" i="49"/>
  <c r="J198" i="49" s="1"/>
  <c r="G185" i="49"/>
  <c r="J185" i="49" s="1"/>
  <c r="G201" i="49"/>
  <c r="J201" i="49" s="1"/>
  <c r="G179" i="49"/>
  <c r="J179" i="49" s="1"/>
  <c r="G182" i="49"/>
  <c r="J182" i="49" s="1"/>
  <c r="G197" i="49"/>
  <c r="J197" i="49" s="1"/>
  <c r="G196" i="49"/>
  <c r="J196" i="49" s="1"/>
  <c r="G171" i="49"/>
  <c r="J171" i="49" s="1"/>
  <c r="G199" i="49"/>
  <c r="J199" i="49" s="1"/>
  <c r="G204" i="49"/>
  <c r="J204" i="49" s="1"/>
  <c r="G178" i="49"/>
  <c r="J178" i="49" s="1"/>
  <c r="G205" i="49"/>
  <c r="J205" i="49" s="1"/>
  <c r="G192" i="49"/>
  <c r="J192" i="49" s="1"/>
  <c r="G177" i="49"/>
  <c r="J177" i="49" s="1"/>
  <c r="G176" i="49"/>
  <c r="J176" i="49" s="1"/>
  <c r="G203" i="49"/>
  <c r="J203" i="49" s="1"/>
  <c r="G191" i="49"/>
  <c r="J191" i="49" s="1"/>
  <c r="G189" i="49"/>
  <c r="J189" i="49" s="1"/>
  <c r="G175" i="49"/>
  <c r="J175" i="49" s="1"/>
  <c r="G194" i="49"/>
  <c r="J194" i="49" s="1"/>
  <c r="G200" i="49"/>
  <c r="J200" i="49" s="1"/>
  <c r="G187" i="49"/>
  <c r="J187" i="49" s="1"/>
  <c r="G202" i="49"/>
  <c r="J202" i="49" s="1"/>
  <c r="G188" i="49"/>
  <c r="J188" i="49" s="1"/>
  <c r="G180" i="49"/>
  <c r="J180" i="49" s="1"/>
  <c r="G173" i="49"/>
  <c r="J173" i="49" s="1"/>
  <c r="G193" i="49"/>
  <c r="J193" i="49" s="1"/>
  <c r="G186" i="49"/>
  <c r="J186" i="49" s="1"/>
  <c r="G172" i="49"/>
  <c r="J172" i="49" s="1"/>
  <c r="J243" i="73"/>
  <c r="L243" i="73" s="1"/>
  <c r="F37" i="49"/>
  <c r="F304" i="73"/>
  <c r="F302" i="73" s="1"/>
  <c r="J39" i="73"/>
  <c r="L39" i="73" s="1"/>
  <c r="J107" i="73"/>
  <c r="L107" i="73" s="1"/>
  <c r="J175" i="73"/>
  <c r="L175" i="73" s="1"/>
  <c r="G158" i="49"/>
  <c r="J158" i="49" s="1"/>
  <c r="G131" i="49"/>
  <c r="J131" i="49" s="1"/>
  <c r="G162" i="49"/>
  <c r="J162" i="49" s="1"/>
  <c r="G132" i="49"/>
  <c r="J132" i="49" s="1"/>
  <c r="G155" i="49"/>
  <c r="J155" i="49" s="1"/>
  <c r="G150" i="49"/>
  <c r="J150" i="49" s="1"/>
  <c r="G139" i="49"/>
  <c r="J139" i="49" s="1"/>
  <c r="G146" i="49"/>
  <c r="J146" i="49" s="1"/>
  <c r="G152" i="49"/>
  <c r="J152" i="49" s="1"/>
  <c r="G154" i="49"/>
  <c r="J154" i="49" s="1"/>
  <c r="G129" i="49"/>
  <c r="J129" i="49" s="1"/>
  <c r="G161" i="49"/>
  <c r="J161" i="49" s="1"/>
  <c r="G142" i="49"/>
  <c r="J142" i="49" s="1"/>
  <c r="G149" i="49"/>
  <c r="J149" i="49" s="1"/>
  <c r="G160" i="49"/>
  <c r="J160" i="49" s="1"/>
  <c r="G137" i="49"/>
  <c r="J137" i="49" s="1"/>
  <c r="G133" i="49"/>
  <c r="J133" i="49" s="1"/>
  <c r="G153" i="49"/>
  <c r="J153" i="49" s="1"/>
  <c r="G145" i="49"/>
  <c r="J145" i="49" s="1"/>
  <c r="G148" i="49"/>
  <c r="J148" i="49" s="1"/>
  <c r="G143" i="49"/>
  <c r="J143" i="49" s="1"/>
  <c r="G159" i="49"/>
  <c r="J159" i="49" s="1"/>
  <c r="G156" i="49"/>
  <c r="J156" i="49" s="1"/>
  <c r="G163" i="49"/>
  <c r="J163" i="49" s="1"/>
  <c r="G138" i="49"/>
  <c r="J138" i="49" s="1"/>
  <c r="G136" i="49"/>
  <c r="J136" i="49" s="1"/>
  <c r="G140" i="49"/>
  <c r="J140" i="49" s="1"/>
  <c r="G141" i="49"/>
  <c r="J141" i="49" s="1"/>
  <c r="G147" i="49"/>
  <c r="J147" i="49" s="1"/>
  <c r="G144" i="49"/>
  <c r="J144" i="49" s="1"/>
  <c r="G135" i="49"/>
  <c r="J135" i="49" s="1"/>
  <c r="G130" i="49"/>
  <c r="J130" i="49" s="1"/>
  <c r="G157" i="49"/>
  <c r="J157" i="49" s="1"/>
  <c r="G151" i="49"/>
  <c r="J151" i="49" s="1"/>
  <c r="G134" i="49"/>
  <c r="J134" i="49" s="1"/>
  <c r="K107" i="73" l="1"/>
  <c r="J309" i="73"/>
  <c r="L309" i="73" s="1"/>
  <c r="K39" i="73"/>
  <c r="K243" i="73"/>
  <c r="K175" i="73"/>
  <c r="K309" i="73" l="1"/>
  <c r="J310" i="73" s="1"/>
  <c r="L310" i="73" s="1"/>
  <c r="J244" i="73"/>
  <c r="L244" i="73" s="1"/>
  <c r="J40" i="73"/>
  <c r="L40" i="73" s="1"/>
  <c r="J176" i="73"/>
  <c r="L176" i="73" s="1"/>
  <c r="J108" i="73"/>
  <c r="L108" i="73" s="1"/>
  <c r="K176" i="73" l="1"/>
  <c r="J177" i="73" s="1"/>
  <c r="L177" i="73" s="1"/>
  <c r="K40" i="73"/>
  <c r="K310" i="73"/>
  <c r="K108" i="73"/>
  <c r="K244" i="73"/>
  <c r="J245" i="73" l="1"/>
  <c r="L245" i="73" s="1"/>
  <c r="J109" i="73"/>
  <c r="L109" i="73" s="1"/>
  <c r="J311" i="73"/>
  <c r="L311" i="73" s="1"/>
  <c r="J41" i="73"/>
  <c r="L41" i="73" s="1"/>
  <c r="K177" i="73"/>
  <c r="K311" i="73" l="1"/>
  <c r="J312" i="73" s="1"/>
  <c r="L312" i="73" s="1"/>
  <c r="K41" i="73"/>
  <c r="K109" i="73"/>
  <c r="K245" i="73"/>
  <c r="J178" i="73"/>
  <c r="L178" i="73" s="1"/>
  <c r="K312" i="73" l="1"/>
  <c r="J313" i="73" s="1"/>
  <c r="L313" i="73" s="1"/>
  <c r="J246" i="73"/>
  <c r="L246" i="73" s="1"/>
  <c r="J110" i="73"/>
  <c r="L110" i="73" s="1"/>
  <c r="K178" i="73"/>
  <c r="J42" i="73"/>
  <c r="L42" i="73" s="1"/>
  <c r="K313" i="73" l="1"/>
  <c r="J314" i="73" s="1"/>
  <c r="L314" i="73" s="1"/>
  <c r="J179" i="73"/>
  <c r="L179" i="73" s="1"/>
  <c r="K110" i="73"/>
  <c r="K246" i="73"/>
  <c r="K42" i="73"/>
  <c r="J247" i="73" l="1"/>
  <c r="L247" i="73" s="1"/>
  <c r="K314" i="73"/>
  <c r="J111" i="73"/>
  <c r="L111" i="73" s="1"/>
  <c r="J43" i="73"/>
  <c r="L43" i="73" s="1"/>
  <c r="K179" i="73"/>
  <c r="K111" i="73" l="1"/>
  <c r="J112" i="73" s="1"/>
  <c r="L112" i="73" s="1"/>
  <c r="K247" i="73"/>
  <c r="J248" i="73" s="1"/>
  <c r="L248" i="73" s="1"/>
  <c r="K43" i="73"/>
  <c r="J180" i="73"/>
  <c r="L180" i="73" s="1"/>
  <c r="J315" i="73"/>
  <c r="L315" i="73" s="1"/>
  <c r="K248" i="73" l="1"/>
  <c r="J249" i="73" s="1"/>
  <c r="L249" i="73" s="1"/>
  <c r="K315" i="73"/>
  <c r="J316" i="73" s="1"/>
  <c r="L316" i="73" s="1"/>
  <c r="K180" i="73"/>
  <c r="K112" i="73"/>
  <c r="J44" i="73"/>
  <c r="L44" i="73" s="1"/>
  <c r="K249" i="73" l="1"/>
  <c r="J250" i="73" s="1"/>
  <c r="L250" i="73" s="1"/>
  <c r="K316" i="73"/>
  <c r="J317" i="73" s="1"/>
  <c r="L317" i="73" s="1"/>
  <c r="J113" i="73"/>
  <c r="L113" i="73" s="1"/>
  <c r="K44" i="73"/>
  <c r="J181" i="73"/>
  <c r="L181" i="73" s="1"/>
  <c r="K113" i="73" l="1"/>
  <c r="J114" i="73" s="1"/>
  <c r="L114" i="73" s="1"/>
  <c r="K317" i="73"/>
  <c r="J318" i="73" s="1"/>
  <c r="L318" i="73" s="1"/>
  <c r="J45" i="73"/>
  <c r="L45" i="73" s="1"/>
  <c r="K250" i="73"/>
  <c r="K181" i="73"/>
  <c r="K114" i="73" l="1"/>
  <c r="K318" i="73"/>
  <c r="J182" i="73"/>
  <c r="L182" i="73" s="1"/>
  <c r="J251" i="73"/>
  <c r="L251" i="73" s="1"/>
  <c r="K45" i="73"/>
  <c r="K182" i="73" l="1"/>
  <c r="J183" i="73" s="1"/>
  <c r="L183" i="73" s="1"/>
  <c r="J46" i="73"/>
  <c r="L46" i="73" s="1"/>
  <c r="J319" i="73"/>
  <c r="L319" i="73" s="1"/>
  <c r="K251" i="73"/>
  <c r="J115" i="73"/>
  <c r="L115" i="73" s="1"/>
  <c r="K319" i="73" l="1"/>
  <c r="J320" i="73" s="1"/>
  <c r="L320" i="73" s="1"/>
  <c r="J252" i="73"/>
  <c r="L252" i="73" s="1"/>
  <c r="K183" i="73"/>
  <c r="K46" i="73"/>
  <c r="K115" i="73"/>
  <c r="K320" i="73" l="1"/>
  <c r="J184" i="73"/>
  <c r="L184" i="73" s="1"/>
  <c r="J116" i="73"/>
  <c r="L116" i="73" s="1"/>
  <c r="K252" i="73"/>
  <c r="J47" i="73"/>
  <c r="L47" i="73" s="1"/>
  <c r="K184" i="73" l="1"/>
  <c r="J185" i="73" s="1"/>
  <c r="L185" i="73" s="1"/>
  <c r="K116" i="73"/>
  <c r="J117" i="73" s="1"/>
  <c r="L117" i="73" s="1"/>
  <c r="K47" i="73"/>
  <c r="J253" i="73"/>
  <c r="L253" i="73" s="1"/>
  <c r="J321" i="73"/>
  <c r="L321" i="73" s="1"/>
  <c r="K253" i="73" l="1"/>
  <c r="J254" i="73" s="1"/>
  <c r="L254" i="73" s="1"/>
  <c r="K185" i="73"/>
  <c r="J48" i="73"/>
  <c r="L48" i="73" s="1"/>
  <c r="K117" i="73"/>
  <c r="K321" i="73"/>
  <c r="K48" i="73" l="1"/>
  <c r="J49" i="73" s="1"/>
  <c r="L49" i="73" s="1"/>
  <c r="J322" i="73"/>
  <c r="L322" i="73" s="1"/>
  <c r="K254" i="73"/>
  <c r="J118" i="73"/>
  <c r="L118" i="73" s="1"/>
  <c r="J186" i="73"/>
  <c r="L186" i="73" s="1"/>
  <c r="K118" i="73" l="1"/>
  <c r="J119" i="73" s="1"/>
  <c r="L119" i="73" s="1"/>
  <c r="K322" i="73"/>
  <c r="J323" i="73" s="1"/>
  <c r="L323" i="73" s="1"/>
  <c r="J255" i="73"/>
  <c r="L255" i="73" s="1"/>
  <c r="K49" i="73"/>
  <c r="K186" i="73"/>
  <c r="K119" i="73" l="1"/>
  <c r="J120" i="73" s="1"/>
  <c r="L120" i="73" s="1"/>
  <c r="K323" i="73"/>
  <c r="J324" i="73" s="1"/>
  <c r="L324" i="73" s="1"/>
  <c r="K255" i="73"/>
  <c r="J256" i="73" s="1"/>
  <c r="L256" i="73" s="1"/>
  <c r="J50" i="73"/>
  <c r="L50" i="73" s="1"/>
  <c r="J187" i="73"/>
  <c r="L187" i="73" s="1"/>
  <c r="K50" i="73" l="1"/>
  <c r="J51" i="73" s="1"/>
  <c r="L51" i="73" s="1"/>
  <c r="K324" i="73"/>
  <c r="J325" i="73" s="1"/>
  <c r="L325" i="73" s="1"/>
  <c r="K120" i="73"/>
  <c r="K187" i="73"/>
  <c r="K256" i="73"/>
  <c r="K51" i="73" l="1"/>
  <c r="J52" i="73" s="1"/>
  <c r="L52" i="73" s="1"/>
  <c r="J188" i="73"/>
  <c r="L188" i="73" s="1"/>
  <c r="K325" i="73"/>
  <c r="J257" i="73"/>
  <c r="L257" i="73" s="1"/>
  <c r="J121" i="73"/>
  <c r="L121" i="73" s="1"/>
  <c r="K52" i="73" l="1"/>
  <c r="J53" i="73" s="1"/>
  <c r="L53" i="73" s="1"/>
  <c r="K257" i="73"/>
  <c r="J258" i="73" s="1"/>
  <c r="L258" i="73" s="1"/>
  <c r="J326" i="73"/>
  <c r="L326" i="73" s="1"/>
  <c r="K188" i="73"/>
  <c r="K121" i="73"/>
  <c r="K53" i="73" l="1"/>
  <c r="J54" i="73" s="1"/>
  <c r="L54" i="73" s="1"/>
  <c r="K326" i="73"/>
  <c r="J327" i="73" s="1"/>
  <c r="L327" i="73" s="1"/>
  <c r="K258" i="73"/>
  <c r="J259" i="73" s="1"/>
  <c r="L259" i="73" s="1"/>
  <c r="J189" i="73"/>
  <c r="L189" i="73" s="1"/>
  <c r="J122" i="73"/>
  <c r="L122" i="73" s="1"/>
  <c r="K54" i="73" l="1"/>
  <c r="J55" i="73" s="1"/>
  <c r="L55" i="73" s="1"/>
  <c r="K189" i="73"/>
  <c r="J190" i="73" s="1"/>
  <c r="L190" i="73" s="1"/>
  <c r="K327" i="73"/>
  <c r="K122" i="73"/>
  <c r="K259" i="73"/>
  <c r="K190" i="73" l="1"/>
  <c r="J191" i="73" s="1"/>
  <c r="L191" i="73" s="1"/>
  <c r="J260" i="73"/>
  <c r="L260" i="73" s="1"/>
  <c r="J123" i="73"/>
  <c r="L123" i="73" s="1"/>
  <c r="K55" i="73"/>
  <c r="J328" i="73"/>
  <c r="L328" i="73" s="1"/>
  <c r="K123" i="73" l="1"/>
  <c r="J124" i="73" s="1"/>
  <c r="L124" i="73" s="1"/>
  <c r="K191" i="73"/>
  <c r="J192" i="73" s="1"/>
  <c r="L192" i="73" s="1"/>
  <c r="J56" i="73"/>
  <c r="L56" i="73" s="1"/>
  <c r="K260" i="73"/>
  <c r="K328" i="73"/>
  <c r="K192" i="73" l="1"/>
  <c r="J193" i="73" s="1"/>
  <c r="L193" i="73" s="1"/>
  <c r="K124" i="73"/>
  <c r="J125" i="73" s="1"/>
  <c r="L125" i="73" s="1"/>
  <c r="J261" i="73"/>
  <c r="L261" i="73" s="1"/>
  <c r="K56" i="73"/>
  <c r="J329" i="73"/>
  <c r="L329" i="73" s="1"/>
  <c r="K261" i="73" l="1"/>
  <c r="K125" i="73"/>
  <c r="K193" i="73"/>
  <c r="J57" i="73"/>
  <c r="L57" i="73" s="1"/>
  <c r="K329" i="73"/>
  <c r="K57" i="73" l="1"/>
  <c r="J58" i="73" s="1"/>
  <c r="L58" i="73" s="1"/>
  <c r="J330" i="73"/>
  <c r="L330" i="73" s="1"/>
  <c r="J194" i="73"/>
  <c r="L194" i="73" s="1"/>
  <c r="J126" i="73"/>
  <c r="L126" i="73" s="1"/>
  <c r="J262" i="73"/>
  <c r="L262" i="73" s="1"/>
  <c r="K330" i="73" l="1"/>
  <c r="J331" i="73" s="1"/>
  <c r="L331" i="73" s="1"/>
  <c r="K194" i="73"/>
  <c r="K126" i="73"/>
  <c r="K262" i="73"/>
  <c r="K58" i="73"/>
  <c r="J127" i="73" l="1"/>
  <c r="L127" i="73" s="1"/>
  <c r="J195" i="73"/>
  <c r="L195" i="73" s="1"/>
  <c r="J263" i="73"/>
  <c r="L263" i="73" s="1"/>
  <c r="K331" i="73"/>
  <c r="J59" i="73"/>
  <c r="L59" i="73" s="1"/>
  <c r="K195" i="73" l="1"/>
  <c r="J196" i="73" s="1"/>
  <c r="L196" i="73" s="1"/>
  <c r="K127" i="73"/>
  <c r="J128" i="73" s="1"/>
  <c r="L128" i="73" s="1"/>
  <c r="J332" i="73"/>
  <c r="L332" i="73" s="1"/>
  <c r="K263" i="73"/>
  <c r="K59" i="73"/>
  <c r="J264" i="73" l="1"/>
  <c r="L264" i="73" s="1"/>
  <c r="J60" i="73"/>
  <c r="L60" i="73" s="1"/>
  <c r="K128" i="73"/>
  <c r="K332" i="73"/>
  <c r="K196" i="73"/>
  <c r="K60" i="73" l="1"/>
  <c r="J61" i="73" s="1"/>
  <c r="L61" i="73" s="1"/>
  <c r="K264" i="73"/>
  <c r="J265" i="73" s="1"/>
  <c r="L265" i="73" s="1"/>
  <c r="J129" i="73"/>
  <c r="L129" i="73" s="1"/>
  <c r="J333" i="73"/>
  <c r="L333" i="73" s="1"/>
  <c r="J197" i="73"/>
  <c r="L197" i="73" s="1"/>
  <c r="K61" i="73" l="1"/>
  <c r="J62" i="73" s="1"/>
  <c r="L62" i="73" s="1"/>
  <c r="K197" i="73"/>
  <c r="K265" i="73"/>
  <c r="K129" i="73"/>
  <c r="K333" i="73"/>
  <c r="K62" i="73" l="1"/>
  <c r="J63" i="73" s="1"/>
  <c r="L63" i="73" s="1"/>
  <c r="J266" i="73"/>
  <c r="L266" i="73" s="1"/>
  <c r="J334" i="73"/>
  <c r="L334" i="73" s="1"/>
  <c r="J130" i="73"/>
  <c r="L130" i="73" s="1"/>
  <c r="J198" i="73"/>
  <c r="L198" i="73" s="1"/>
  <c r="K334" i="73" l="1"/>
  <c r="J335" i="73" s="1"/>
  <c r="L335" i="73" s="1"/>
  <c r="K63" i="73"/>
  <c r="K130" i="73"/>
  <c r="K198" i="73"/>
  <c r="K266" i="73"/>
  <c r="J199" i="73" l="1"/>
  <c r="L199" i="73" s="1"/>
  <c r="J131" i="73"/>
  <c r="L131" i="73" s="1"/>
  <c r="J64" i="73"/>
  <c r="L64" i="73" s="1"/>
  <c r="J267" i="73"/>
  <c r="L267" i="73" s="1"/>
  <c r="K335" i="73"/>
  <c r="K64" i="73" l="1"/>
  <c r="J65" i="73" s="1"/>
  <c r="L65" i="73" s="1"/>
  <c r="K267" i="73"/>
  <c r="K131" i="73"/>
  <c r="K199" i="73"/>
  <c r="J336" i="73"/>
  <c r="L336" i="73" s="1"/>
  <c r="J132" i="73" l="1"/>
  <c r="L132" i="73" s="1"/>
  <c r="J268" i="73"/>
  <c r="L268" i="73" s="1"/>
  <c r="J200" i="73"/>
  <c r="L200" i="73" s="1"/>
  <c r="K65" i="73"/>
  <c r="K336" i="73"/>
  <c r="K132" i="73" l="1"/>
  <c r="J133" i="73" s="1"/>
  <c r="L133" i="73" s="1"/>
  <c r="K200" i="73"/>
  <c r="J201" i="73" s="1"/>
  <c r="L201" i="73" s="1"/>
  <c r="K268" i="73"/>
  <c r="J337" i="73"/>
  <c r="L337" i="73" s="1"/>
  <c r="J66" i="73"/>
  <c r="L66" i="73" s="1"/>
  <c r="K66" i="73" l="1"/>
  <c r="J67" i="73" s="1"/>
  <c r="L67" i="73" s="1"/>
  <c r="J269" i="73"/>
  <c r="L269" i="73" s="1"/>
  <c r="K201" i="73"/>
  <c r="K337" i="73"/>
  <c r="K133" i="73"/>
  <c r="K67" i="73" l="1"/>
  <c r="J68" i="73" s="1"/>
  <c r="L68" i="73" s="1"/>
  <c r="K269" i="73"/>
  <c r="J270" i="73" s="1"/>
  <c r="L270" i="73" s="1"/>
  <c r="J202" i="73"/>
  <c r="L202" i="73" s="1"/>
  <c r="J134" i="73"/>
  <c r="L134" i="73" s="1"/>
  <c r="J338" i="73"/>
  <c r="L338" i="73" s="1"/>
  <c r="K270" i="73" l="1"/>
  <c r="J271" i="73" s="1"/>
  <c r="L271" i="73" s="1"/>
  <c r="K338" i="73"/>
  <c r="J339" i="73" s="1"/>
  <c r="L339" i="73" s="1"/>
  <c r="K202" i="73"/>
  <c r="J203" i="73" s="1"/>
  <c r="L203" i="73" s="1"/>
  <c r="K68" i="73"/>
  <c r="J69" i="73" s="1"/>
  <c r="L69" i="73" s="1"/>
  <c r="K134" i="73"/>
  <c r="K271" i="73" l="1"/>
  <c r="J272" i="73" s="1"/>
  <c r="L272" i="73" s="1"/>
  <c r="J135" i="73"/>
  <c r="L135" i="73" s="1"/>
  <c r="K339" i="73"/>
  <c r="K69" i="73"/>
  <c r="K203" i="73"/>
  <c r="J204" i="73" l="1"/>
  <c r="L204" i="73" s="1"/>
  <c r="K272" i="73"/>
  <c r="J70" i="73"/>
  <c r="L70" i="73" s="1"/>
  <c r="J340" i="73"/>
  <c r="L340" i="73" s="1"/>
  <c r="K135" i="73"/>
  <c r="K204" i="73" l="1"/>
  <c r="J205" i="73" s="1"/>
  <c r="L205" i="73" s="1"/>
  <c r="K340" i="73"/>
  <c r="J341" i="73" s="1"/>
  <c r="L341" i="73" s="1"/>
  <c r="J136" i="73"/>
  <c r="L136" i="73" s="1"/>
  <c r="J273" i="73"/>
  <c r="L273" i="73" s="1"/>
  <c r="K70" i="73"/>
  <c r="K341" i="73" l="1"/>
  <c r="J342" i="73" s="1"/>
  <c r="L342" i="73" s="1"/>
  <c r="J71" i="73"/>
  <c r="L71" i="73" s="1"/>
  <c r="K136" i="73"/>
  <c r="K273" i="73"/>
  <c r="K205" i="73"/>
  <c r="J206" i="73" l="1"/>
  <c r="L206" i="73" s="1"/>
  <c r="J274" i="73"/>
  <c r="L274" i="73" s="1"/>
  <c r="J137" i="73"/>
  <c r="L137" i="73" s="1"/>
  <c r="K71" i="73"/>
  <c r="K342" i="73"/>
  <c r="K206" i="73" l="1"/>
  <c r="J207" i="73" s="1"/>
  <c r="L207" i="73" s="1"/>
  <c r="J343" i="73"/>
  <c r="L343" i="73" s="1"/>
  <c r="K137" i="73"/>
  <c r="K274" i="73"/>
  <c r="J72" i="73"/>
  <c r="L72" i="73" s="1"/>
  <c r="K207" i="73" l="1"/>
  <c r="J208" i="73" s="1"/>
  <c r="L208" i="73" s="1"/>
  <c r="J275" i="73"/>
  <c r="L275" i="73" s="1"/>
  <c r="J138" i="73"/>
  <c r="L138" i="73" s="1"/>
  <c r="K343" i="73"/>
  <c r="K72" i="73"/>
  <c r="K275" i="73" l="1"/>
  <c r="J276" i="73" s="1"/>
  <c r="L276" i="73" s="1"/>
  <c r="K138" i="73"/>
  <c r="J139" i="73" s="1"/>
  <c r="L139" i="73" s="1"/>
  <c r="K208" i="73"/>
  <c r="J73" i="73"/>
  <c r="L73" i="73" s="1"/>
  <c r="J344" i="73"/>
  <c r="L344" i="73" s="1"/>
  <c r="K139" i="73" l="1"/>
  <c r="J140" i="73" s="1"/>
  <c r="L140" i="73" s="1"/>
  <c r="J209" i="73"/>
  <c r="L209" i="73" s="1"/>
  <c r="K73" i="73"/>
  <c r="K276" i="73"/>
  <c r="K344" i="73"/>
  <c r="K209" i="73" l="1"/>
  <c r="J210" i="73" s="1"/>
  <c r="L210" i="73" s="1"/>
  <c r="K140" i="73"/>
  <c r="J74" i="73"/>
  <c r="L74" i="73" s="1"/>
  <c r="J345" i="73"/>
  <c r="L345" i="73" s="1"/>
  <c r="J277" i="73"/>
  <c r="L277" i="73" s="1"/>
  <c r="K74" i="73" l="1"/>
  <c r="J75" i="73" s="1"/>
  <c r="L75" i="73" s="1"/>
  <c r="K210" i="73"/>
  <c r="J211" i="73" s="1"/>
  <c r="L211" i="73" s="1"/>
  <c r="K345" i="73"/>
  <c r="K277" i="73"/>
  <c r="J141" i="73"/>
  <c r="L141" i="73" s="1"/>
  <c r="K141" i="73" l="1"/>
  <c r="J142" i="73" s="1"/>
  <c r="L142" i="73" s="1"/>
  <c r="J346" i="73"/>
  <c r="L346" i="73" s="1"/>
  <c r="K75" i="73"/>
  <c r="J278" i="73"/>
  <c r="L278" i="73" s="1"/>
  <c r="K211" i="73"/>
  <c r="K278" i="73" l="1"/>
  <c r="J279" i="73" s="1"/>
  <c r="L279" i="73" s="1"/>
  <c r="K346" i="73"/>
  <c r="J347" i="73" s="1"/>
  <c r="L347" i="73" s="1"/>
  <c r="F306" i="73" s="1"/>
  <c r="F349" i="73" s="1"/>
  <c r="F5" i="73" s="1"/>
  <c r="G37" i="49" s="1"/>
  <c r="K142" i="73"/>
  <c r="J212" i="73"/>
  <c r="L212" i="73" s="1"/>
  <c r="J76" i="73"/>
  <c r="L76" i="73" s="1"/>
  <c r="J37" i="49" l="1"/>
  <c r="K37" i="49" s="1"/>
  <c r="K279" i="73"/>
  <c r="J280" i="73" s="1"/>
  <c r="L280" i="73" s="1"/>
  <c r="K212" i="73"/>
  <c r="K76" i="73"/>
  <c r="K347" i="73"/>
  <c r="J143" i="73"/>
  <c r="L143" i="73" s="1"/>
  <c r="O37" i="49" l="1"/>
  <c r="K280" i="73"/>
  <c r="K143" i="73"/>
  <c r="J77" i="73"/>
  <c r="L77" i="73" s="1"/>
  <c r="F36" i="73" s="1"/>
  <c r="F79" i="73" s="1"/>
  <c r="F6" i="73" s="1"/>
  <c r="G42" i="49" s="1"/>
  <c r="J213" i="73"/>
  <c r="L213" i="73" s="1"/>
  <c r="F172" i="73" s="1"/>
  <c r="F215" i="73" s="1"/>
  <c r="F8" i="73" s="1"/>
  <c r="G126" i="49" s="1"/>
  <c r="J126" i="49" s="1"/>
  <c r="K213" i="73" l="1"/>
  <c r="K77" i="73"/>
  <c r="G68" i="49"/>
  <c r="J68" i="49" s="1"/>
  <c r="K68" i="49" s="1"/>
  <c r="G74" i="49"/>
  <c r="J74" i="49" s="1"/>
  <c r="K74" i="49" s="1"/>
  <c r="G76" i="49"/>
  <c r="J76" i="49" s="1"/>
  <c r="K76" i="49" s="1"/>
  <c r="G54" i="49"/>
  <c r="J54" i="49" s="1"/>
  <c r="K54" i="49" s="1"/>
  <c r="G60" i="49"/>
  <c r="J60" i="49" s="1"/>
  <c r="K60" i="49" s="1"/>
  <c r="G52" i="49"/>
  <c r="J52" i="49" s="1"/>
  <c r="K52" i="49" s="1"/>
  <c r="G67" i="49"/>
  <c r="J67" i="49" s="1"/>
  <c r="K67" i="49" s="1"/>
  <c r="G61" i="49"/>
  <c r="J61" i="49" s="1"/>
  <c r="K61" i="49" s="1"/>
  <c r="G50" i="49"/>
  <c r="J50" i="49" s="1"/>
  <c r="K50" i="49" s="1"/>
  <c r="G49" i="49"/>
  <c r="J49" i="49" s="1"/>
  <c r="K49" i="49" s="1"/>
  <c r="G71" i="49"/>
  <c r="J71" i="49" s="1"/>
  <c r="K71" i="49" s="1"/>
  <c r="G53" i="49"/>
  <c r="J53" i="49" s="1"/>
  <c r="K53" i="49" s="1"/>
  <c r="G48" i="49"/>
  <c r="J48" i="49" s="1"/>
  <c r="K48" i="49" s="1"/>
  <c r="G66" i="49"/>
  <c r="J66" i="49" s="1"/>
  <c r="K66" i="49" s="1"/>
  <c r="J42" i="49"/>
  <c r="K42" i="49" s="1"/>
  <c r="G51" i="49"/>
  <c r="J51" i="49" s="1"/>
  <c r="K51" i="49" s="1"/>
  <c r="G75" i="49"/>
  <c r="J75" i="49" s="1"/>
  <c r="K75" i="49" s="1"/>
  <c r="G46" i="49"/>
  <c r="J46" i="49" s="1"/>
  <c r="K46" i="49" s="1"/>
  <c r="G62" i="49"/>
  <c r="J62" i="49" s="1"/>
  <c r="K62" i="49" s="1"/>
  <c r="G63" i="49"/>
  <c r="J63" i="49" s="1"/>
  <c r="K63" i="49" s="1"/>
  <c r="G77" i="49"/>
  <c r="J77" i="49" s="1"/>
  <c r="K77" i="49" s="1"/>
  <c r="G47" i="49"/>
  <c r="J47" i="49" s="1"/>
  <c r="K47" i="49" s="1"/>
  <c r="G56" i="49"/>
  <c r="J56" i="49" s="1"/>
  <c r="K56" i="49" s="1"/>
  <c r="G58" i="49"/>
  <c r="J58" i="49" s="1"/>
  <c r="K58" i="49" s="1"/>
  <c r="G59" i="49"/>
  <c r="J59" i="49" s="1"/>
  <c r="K59" i="49" s="1"/>
  <c r="G69" i="49"/>
  <c r="J69" i="49" s="1"/>
  <c r="K69" i="49" s="1"/>
  <c r="G78" i="49"/>
  <c r="J78" i="49" s="1"/>
  <c r="K78" i="49" s="1"/>
  <c r="G65" i="49"/>
  <c r="J65" i="49" s="1"/>
  <c r="K65" i="49" s="1"/>
  <c r="G45" i="49"/>
  <c r="J45" i="49" s="1"/>
  <c r="K45" i="49" s="1"/>
  <c r="G79" i="49"/>
  <c r="J79" i="49" s="1"/>
  <c r="K79" i="49" s="1"/>
  <c r="G57" i="49"/>
  <c r="J57" i="49" s="1"/>
  <c r="K57" i="49" s="1"/>
  <c r="G70" i="49"/>
  <c r="J70" i="49" s="1"/>
  <c r="K70" i="49" s="1"/>
  <c r="G73" i="49"/>
  <c r="J73" i="49" s="1"/>
  <c r="K73" i="49" s="1"/>
  <c r="G64" i="49"/>
  <c r="J64" i="49" s="1"/>
  <c r="K64" i="49" s="1"/>
  <c r="G55" i="49"/>
  <c r="J55" i="49" s="1"/>
  <c r="K55" i="49" s="1"/>
  <c r="G72" i="49"/>
  <c r="J72" i="49" s="1"/>
  <c r="K72" i="49" s="1"/>
  <c r="J144" i="73"/>
  <c r="L144" i="73" s="1"/>
  <c r="J281" i="73"/>
  <c r="L281" i="73" s="1"/>
  <c r="F240" i="73" s="1"/>
  <c r="F283" i="73" s="1"/>
  <c r="F9" i="73" s="1"/>
  <c r="G168" i="49" s="1"/>
  <c r="J168" i="49" s="1"/>
  <c r="O49" i="49" l="1"/>
  <c r="O63" i="49"/>
  <c r="O57" i="49"/>
  <c r="O62" i="49"/>
  <c r="O67" i="49"/>
  <c r="O73" i="49"/>
  <c r="O52" i="49"/>
  <c r="O47" i="49"/>
  <c r="O60" i="49"/>
  <c r="O77" i="49"/>
  <c r="O65" i="49"/>
  <c r="O54" i="49"/>
  <c r="O61" i="49"/>
  <c r="O76" i="49"/>
  <c r="O50" i="49"/>
  <c r="O46" i="49"/>
  <c r="O78" i="49"/>
  <c r="O66" i="49"/>
  <c r="O74" i="49"/>
  <c r="O75" i="49"/>
  <c r="O42" i="49"/>
  <c r="O59" i="49"/>
  <c r="O48" i="49"/>
  <c r="O68" i="49"/>
  <c r="O79" i="49"/>
  <c r="O72" i="49"/>
  <c r="O58" i="49"/>
  <c r="O53" i="49"/>
  <c r="O64" i="49"/>
  <c r="O70" i="49"/>
  <c r="O51" i="49"/>
  <c r="O69" i="49"/>
  <c r="O55" i="49"/>
  <c r="O56" i="49"/>
  <c r="O71" i="49"/>
  <c r="O45" i="49"/>
  <c r="K281" i="73"/>
  <c r="K144" i="73"/>
  <c r="J145" i="73" s="1"/>
  <c r="L145" i="73" l="1"/>
  <c r="F104" i="73" s="1"/>
  <c r="F147" i="73" s="1"/>
  <c r="F7" i="73" s="1"/>
  <c r="G84" i="49" s="1"/>
  <c r="G104" i="49" s="1"/>
  <c r="J104" i="49" s="1"/>
  <c r="K104" i="49" s="1"/>
  <c r="K145" i="73"/>
  <c r="O104" i="49" l="1"/>
  <c r="G91" i="49"/>
  <c r="J91" i="49" s="1"/>
  <c r="K91" i="49" s="1"/>
  <c r="G119" i="49"/>
  <c r="J119" i="49" s="1"/>
  <c r="G107" i="49"/>
  <c r="J107" i="49" s="1"/>
  <c r="G106" i="49"/>
  <c r="J106" i="49" s="1"/>
  <c r="K106" i="49" s="1"/>
  <c r="G105" i="49"/>
  <c r="J105" i="49" s="1"/>
  <c r="K105" i="49" s="1"/>
  <c r="G115" i="49"/>
  <c r="J115" i="49" s="1"/>
  <c r="J84" i="49"/>
  <c r="G121" i="49"/>
  <c r="J121" i="49" s="1"/>
  <c r="G100" i="49"/>
  <c r="J100" i="49" s="1"/>
  <c r="K100" i="49" s="1"/>
  <c r="G118" i="49"/>
  <c r="J118" i="49" s="1"/>
  <c r="G120" i="49"/>
  <c r="J120" i="49" s="1"/>
  <c r="G90" i="49"/>
  <c r="J90" i="49" s="1"/>
  <c r="K90" i="49" s="1"/>
  <c r="G95" i="49"/>
  <c r="J95" i="49" s="1"/>
  <c r="K95" i="49" s="1"/>
  <c r="G99" i="49"/>
  <c r="J99" i="49" s="1"/>
  <c r="K99" i="49" s="1"/>
  <c r="G102" i="49"/>
  <c r="J102" i="49" s="1"/>
  <c r="K102" i="49" s="1"/>
  <c r="G87" i="49"/>
  <c r="J87" i="49" s="1"/>
  <c r="K87" i="49" s="1"/>
  <c r="G109" i="49"/>
  <c r="J109" i="49" s="1"/>
  <c r="G88" i="49"/>
  <c r="J88" i="49" s="1"/>
  <c r="K88" i="49" s="1"/>
  <c r="G103" i="49"/>
  <c r="J103" i="49" s="1"/>
  <c r="K103" i="49" s="1"/>
  <c r="G96" i="49"/>
  <c r="J96" i="49" s="1"/>
  <c r="K96" i="49" s="1"/>
  <c r="G110" i="49"/>
  <c r="J110" i="49" s="1"/>
  <c r="G101" i="49"/>
  <c r="J101" i="49" s="1"/>
  <c r="K101" i="49" s="1"/>
  <c r="G113" i="49"/>
  <c r="J113" i="49" s="1"/>
  <c r="G116" i="49"/>
  <c r="J116" i="49" s="1"/>
  <c r="G114" i="49"/>
  <c r="J114" i="49" s="1"/>
  <c r="G93" i="49"/>
  <c r="J93" i="49" s="1"/>
  <c r="K93" i="49" s="1"/>
  <c r="G117" i="49"/>
  <c r="J117" i="49" s="1"/>
  <c r="G98" i="49"/>
  <c r="J98" i="49" s="1"/>
  <c r="K98" i="49" s="1"/>
  <c r="G94" i="49"/>
  <c r="J94" i="49" s="1"/>
  <c r="K94" i="49" s="1"/>
  <c r="G89" i="49"/>
  <c r="J89" i="49" s="1"/>
  <c r="K89" i="49" s="1"/>
  <c r="G97" i="49"/>
  <c r="J97" i="49" s="1"/>
  <c r="K97" i="49" s="1"/>
  <c r="G108" i="49"/>
  <c r="J108" i="49" s="1"/>
  <c r="G111" i="49"/>
  <c r="J111" i="49" s="1"/>
  <c r="G92" i="49"/>
  <c r="J92" i="49" s="1"/>
  <c r="K92" i="49" s="1"/>
  <c r="G112" i="49"/>
  <c r="J112" i="49" s="1"/>
  <c r="O88" i="49" l="1"/>
  <c r="O106" i="49"/>
  <c r="O105" i="49"/>
  <c r="O92" i="49"/>
  <c r="O103" i="49"/>
  <c r="O98" i="49"/>
  <c r="O99" i="49"/>
  <c r="O97" i="49"/>
  <c r="O94" i="49"/>
  <c r="O91" i="49"/>
  <c r="O101" i="49"/>
  <c r="O96" i="49"/>
  <c r="O89" i="49"/>
  <c r="O93" i="49"/>
  <c r="O90" i="49"/>
  <c r="O100" i="49"/>
  <c r="O102" i="49"/>
  <c r="O95" i="49"/>
  <c r="K84" i="49"/>
  <c r="O87" i="49"/>
  <c r="O84" i="4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<sst xmlns="http://schemas.openxmlformats.org/spreadsheetml/2006/main" count="5202" uniqueCount="911">
  <si>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</si>
  <si>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</si>
  <si>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</si>
  <si>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</si>
  <si>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</si>
  <si>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</si>
  <si>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</si>
  <si>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</si>
  <si>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</si>
  <si>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</si>
  <si>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</si>
  <si>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</si>
  <si>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</si>
  <si>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</si>
  <si>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</si>
  <si>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</si>
  <si>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</si>
  <si>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</si>
  <si>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</si>
  <si>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</si>
  <si>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</si>
  <si>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</si>
  <si>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</si>
  <si>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</si>
  <si>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</si>
  <si>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</si>
  <si>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</si>
  <si>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</si>
  <si>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</si>
  <si>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</si>
  <si>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</si>
  <si>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</si>
  <si>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</si>
  <si>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</si>
  <si>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</si>
  <si>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</si>
  <si>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</si>
  <si>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</si>
  <si>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</si>
  <si>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</si>
  <si>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</si>
  <si>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</si>
  <si>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</si>
  <si>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</si>
  <si>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Number styles</t>
  </si>
  <si>
    <t>Table styles</t>
  </si>
  <si>
    <t>Title</t>
  </si>
  <si>
    <t>(Table shading)</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</si>
  <si>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</si>
  <si>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</si>
  <si>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</si>
  <si>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</si>
  <si>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</si>
  <si>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</si>
  <si>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</si>
  <si>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</si>
  <si>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</si>
  <si>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</si>
  <si>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</si>
  <si>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</si>
  <si>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</si>
  <si>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</si>
  <si>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</si>
  <si>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</si>
  <si>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</si>
  <si>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</si>
  <si>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</si>
  <si>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</si>
  <si>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</si>
  <si>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</si>
  <si>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</si>
  <si>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</si>
  <si>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</si>
  <si>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</si>
  <si>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</si>
  <si>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(Table unshading)</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</si>
  <si>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</si>
  <si>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</si>
  <si>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</si>
  <si>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</si>
  <si>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</si>
  <si>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</si>
  <si>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</si>
  <si>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</si>
  <si>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</si>
  <si>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</si>
  <si>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</si>
  <si>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</si>
  <si>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</si>
  <si>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</si>
  <si>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</si>
  <si>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</si>
  <si>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</si>
  <si>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</si>
  <si>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</si>
  <si>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</si>
  <si>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</si>
  <si>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</si>
  <si>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</si>
  <si>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</si>
  <si>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</si>
  <si>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</si>
  <si>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</si>
  <si>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</si>
  <si>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guide to the styles used in this workbook</t>
  </si>
  <si>
    <t>This contents sheet</t>
  </si>
  <si>
    <t>Subscribers.Year Average.Total</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</si>
  <si>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</si>
  <si>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</si>
  <si>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</si>
  <si>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</si>
  <si>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</si>
  <si>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</si>
  <si>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</si>
  <si>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</si>
  <si>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</si>
  <si>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</si>
  <si>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</si>
  <si>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</si>
  <si>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</si>
  <si>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</si>
  <si>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</si>
  <si>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</si>
  <si>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</si>
  <si>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 xml:space="preserve">S </t>
  </si>
  <si>
    <t>NB These styles change most aspects of a cell's formatting (all except Number and Alignment)</t>
  </si>
  <si>
    <t>Input Link (different Worksheet)</t>
  </si>
  <si>
    <t>An input to this part of the model, which is linked to a source on this worksheet within this workbook</t>
  </si>
  <si>
    <t>An input to this part of the model, which is linked to a source on another worksheet within this workbook</t>
  </si>
  <si>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</si>
  <si>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</si>
  <si>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</si>
  <si>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</si>
  <si>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</si>
  <si>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</si>
  <si>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</si>
  <si>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</si>
  <si>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Lists</t>
  </si>
  <si>
    <t>Control</t>
  </si>
  <si>
    <t>Spare</t>
  </si>
  <si>
    <t>&lt;Spare&gt;</t>
  </si>
  <si>
    <t>segments</t>
  </si>
  <si>
    <t>offers.segment.1</t>
  </si>
  <si>
    <t>offers.segment.2</t>
  </si>
  <si>
    <t>offers.segment.3</t>
  </si>
  <si>
    <t>offers.segment.4</t>
  </si>
  <si>
    <t>Wholesale offers</t>
  </si>
  <si>
    <t>MVNO</t>
  </si>
  <si>
    <t>wholesale.offers</t>
  </si>
  <si>
    <t>Gross margin</t>
  </si>
  <si>
    <t>Offer results</t>
  </si>
  <si>
    <t>wholesale.offer.selected</t>
  </si>
  <si>
    <t>Retail market share</t>
  </si>
  <si>
    <t>retail.market.share.active</t>
  </si>
  <si>
    <t>Traffic consumption</t>
  </si>
  <si>
    <t>Voice destination</t>
  </si>
  <si>
    <t>On-net</t>
  </si>
  <si>
    <t>Off-net fixed</t>
  </si>
  <si>
    <t>Off-net mobile</t>
  </si>
  <si>
    <t>International</t>
  </si>
  <si>
    <t>voice.destination</t>
  </si>
  <si>
    <t>VAS</t>
  </si>
  <si>
    <t>Voice</t>
  </si>
  <si>
    <t>% of total traffic</t>
  </si>
  <si>
    <t>SMS</t>
  </si>
  <si>
    <t>Data</t>
  </si>
  <si>
    <t>Total used data (MB per month)</t>
  </si>
  <si>
    <t>Unit</t>
  </si>
  <si>
    <t>NOK</t>
  </si>
  <si>
    <t>ARPU</t>
  </si>
  <si>
    <t>NOK / month</t>
  </si>
  <si>
    <t>Blended ARPU</t>
  </si>
  <si>
    <t>Retail costs</t>
  </si>
  <si>
    <t>Wholesale costs</t>
  </si>
  <si>
    <t>unit / month</t>
  </si>
  <si>
    <t>Access fee</t>
  </si>
  <si>
    <t>Origination</t>
  </si>
  <si>
    <t>Termination</t>
  </si>
  <si>
    <t>Following subscriber steps</t>
  </si>
  <si>
    <t>Chosen offer</t>
  </si>
  <si>
    <t>Wholesale tariffs</t>
  </si>
  <si>
    <t>Initial fee</t>
  </si>
  <si>
    <t>Cost per MB</t>
  </si>
  <si>
    <t>From</t>
  </si>
  <si>
    <t>To</t>
  </si>
  <si>
    <t>Rebate scale</t>
  </si>
  <si>
    <t>Size of the interval</t>
  </si>
  <si>
    <t>Rescalling</t>
  </si>
  <si>
    <t>Discounts on total turnover</t>
  </si>
  <si>
    <t>NOK / month / subscriber</t>
  </si>
  <si>
    <t>Total cost</t>
  </si>
  <si>
    <t>Revenues</t>
  </si>
  <si>
    <t>International roaming</t>
  </si>
  <si>
    <t>Termination rates</t>
  </si>
  <si>
    <t>Traffic overview</t>
  </si>
  <si>
    <t>ARPU calculation</t>
  </si>
  <si>
    <t>Blended ARPU of the segment</t>
  </si>
  <si>
    <t>Termination ARPU</t>
  </si>
  <si>
    <t>Revenue</t>
  </si>
  <si>
    <t>Profit</t>
  </si>
  <si>
    <t>Mobile handsets</t>
  </si>
  <si>
    <t>Retail number of subscribers</t>
  </si>
  <si>
    <t>retail.number.subscribers.test</t>
  </si>
  <si>
    <t>telenor.retail.subscribers</t>
  </si>
  <si>
    <t>Months</t>
  </si>
  <si>
    <t>#</t>
  </si>
  <si>
    <t>telenor.retail.segment.1.subscribers</t>
  </si>
  <si>
    <t>telenor.retail.segment.2.subscribers</t>
  </si>
  <si>
    <t>telenor.retail.segment.3.subscribers</t>
  </si>
  <si>
    <t>telenor.retail.segment.4.subscribers</t>
  </si>
  <si>
    <t>market.retail.subscribers</t>
  </si>
  <si>
    <t>market.retail.segment.1.subscribers</t>
  </si>
  <si>
    <t>market.retail.segment.2.subscribers</t>
  </si>
  <si>
    <t>market.retail.segment.3.subscribers</t>
  </si>
  <si>
    <t>market.retail.segment.4.subscribers</t>
  </si>
  <si>
    <t>Retail ARPU (Traffic)</t>
  </si>
  <si>
    <t>Volumes - Inputs</t>
  </si>
  <si>
    <t>Revenues - Inputs</t>
  </si>
  <si>
    <t>NOK per month</t>
  </si>
  <si>
    <t>Interconnection costs</t>
  </si>
  <si>
    <t>NOK million / month</t>
  </si>
  <si>
    <t>NOK million / year</t>
  </si>
  <si>
    <t>Blended outgoing traffic for the segment</t>
  </si>
  <si>
    <t>Subscriber breakdown</t>
  </si>
  <si>
    <t>Traffic consumption by destination</t>
  </si>
  <si>
    <t>Total used minutes - (mn/month)</t>
  </si>
  <si>
    <t>Total used SMS - (SMS per month)</t>
  </si>
  <si>
    <t>subscription.split.segment.1</t>
  </si>
  <si>
    <t>Data cost</t>
  </si>
  <si>
    <t>Interconnection cost calculation</t>
  </si>
  <si>
    <t>Wholesale offer used as input</t>
  </si>
  <si>
    <t>output.revenue.segment.1</t>
  </si>
  <si>
    <t>output.revenue.segment.2</t>
  </si>
  <si>
    <t>output.revenue.segment.3</t>
  </si>
  <si>
    <t>output.revenue.segment.4</t>
  </si>
  <si>
    <t>output.wholesale.costs.segment.1</t>
  </si>
  <si>
    <t>output.wholesale.costs.segment.2</t>
  </si>
  <si>
    <t>output.wholesale.costs.segment.3</t>
  </si>
  <si>
    <t>output.wholesale.costs.segment.4</t>
  </si>
  <si>
    <t>output.interconnection.costs.segment.1</t>
  </si>
  <si>
    <t>output.interconnection.costs.segment.2</t>
  </si>
  <si>
    <t>output.interconnection.costs.segment.3</t>
  </si>
  <si>
    <t>output.interconnection.costs.segment.4</t>
  </si>
  <si>
    <t>output.retail.costs.segment.1</t>
  </si>
  <si>
    <t>output.retail.costs.segment.2</t>
  </si>
  <si>
    <t>output.retail.costs.segment.3</t>
  </si>
  <si>
    <t>output.retail.costs.segment.4</t>
  </si>
  <si>
    <t>output.revenue.segment.1.offers</t>
  </si>
  <si>
    <t>output.interconnection.costs.segment.1.offers</t>
  </si>
  <si>
    <t>Margin squeeze tool</t>
  </si>
  <si>
    <t>1.0</t>
  </si>
  <si>
    <t>Price control tool for the setting of M15 wholesale prices</t>
  </si>
  <si>
    <t>Analysys Mason</t>
  </si>
  <si>
    <t>subscription.split.segment.2</t>
  </si>
  <si>
    <t>subscription.split.segment.3</t>
  </si>
  <si>
    <t>subscription.split.segment.4</t>
  </si>
  <si>
    <t>output.revenue.segment.2.offers</t>
  </si>
  <si>
    <t>output.revenue.segment.3.offers</t>
  </si>
  <si>
    <t>output.revenue.segment.4.offers</t>
  </si>
  <si>
    <t>output.interconnection.costs.segment.2.offers</t>
  </si>
  <si>
    <t>output.interconnection.costs.segment.3.offers</t>
  </si>
  <si>
    <t>output.interconnection.costs.segment.4.offers</t>
  </si>
  <si>
    <t>Segment results</t>
  </si>
  <si>
    <t>Margin</t>
  </si>
  <si>
    <t>Roaming</t>
  </si>
  <si>
    <t>Not used</t>
  </si>
  <si>
    <t>retail.number.subscribers.test.segment1</t>
  </si>
  <si>
    <t>retail.number.subscribers.test.segment2</t>
  </si>
  <si>
    <t>retail.number.subscribers.test.segment3</t>
  </si>
  <si>
    <t>retail.number.subscribers.test.segment4</t>
  </si>
  <si>
    <t>Total wholesale costs for traffic on host network (without discount)</t>
  </si>
  <si>
    <t>Traffic</t>
  </si>
  <si>
    <t>Version before public consultation and data request, CONFIDENTIAL TO NKOM ONLY</t>
  </si>
  <si>
    <t>Market share used in test</t>
  </si>
  <si>
    <t>wholesale.offers.mkt.share</t>
  </si>
  <si>
    <t>Discounts</t>
  </si>
  <si>
    <t>Monthly fee components</t>
  </si>
  <si>
    <t>Access components</t>
  </si>
  <si>
    <t>Wholesale and interconnection costs and revenues - Inputs</t>
  </si>
  <si>
    <t>Outgoing voice termination costs</t>
  </si>
  <si>
    <t>Outgoing SMS termination</t>
  </si>
  <si>
    <t xml:space="preserve">Voice </t>
  </si>
  <si>
    <t>NOK / minute or SMS</t>
  </si>
  <si>
    <t>Selected</t>
  </si>
  <si>
    <t>Current wholesale offer being tested</t>
  </si>
  <si>
    <t>Current.ws.offer</t>
  </si>
  <si>
    <t xml:space="preserve">Monthly fee </t>
  </si>
  <si>
    <t xml:space="preserve">First subscriber step </t>
  </si>
  <si>
    <t>NOK/month</t>
  </si>
  <si>
    <t xml:space="preserve">Duration of the contract </t>
  </si>
  <si>
    <t>Additional SIM fee</t>
  </si>
  <si>
    <t>Following step fee</t>
  </si>
  <si>
    <t>WS.SMS.traffic</t>
  </si>
  <si>
    <t>WS.voice.traffic</t>
  </si>
  <si>
    <t>WS.access.fees</t>
  </si>
  <si>
    <t>WS.data</t>
  </si>
  <si>
    <t>Out.term.voice</t>
  </si>
  <si>
    <t>Out.term.SMS</t>
  </si>
  <si>
    <t>Incoming.termination</t>
  </si>
  <si>
    <t>Outgoing SMS off-net traffic</t>
  </si>
  <si>
    <t>Outgoing voice off-net traffic</t>
  </si>
  <si>
    <t>NOK / subscriber / month</t>
  </si>
  <si>
    <t>min / month</t>
  </si>
  <si>
    <t>Data used</t>
  </si>
  <si>
    <t>MB / month</t>
  </si>
  <si>
    <t>discount.rebate</t>
  </si>
  <si>
    <t>National voice</t>
  </si>
  <si>
    <t>International voice</t>
  </si>
  <si>
    <t>In basic subscription</t>
  </si>
  <si>
    <t>Name of offer</t>
  </si>
  <si>
    <t>Weight</t>
  </si>
  <si>
    <t>Fixed fees</t>
  </si>
  <si>
    <t>Voice (min / month)</t>
  </si>
  <si>
    <t>SMS (# / month)</t>
  </si>
  <si>
    <t>Voice (NOK / min)</t>
  </si>
  <si>
    <t>SMS (NOK / SMS)</t>
  </si>
  <si>
    <t xml:space="preserve">Data </t>
  </si>
  <si>
    <t xml:space="preserve">Total </t>
  </si>
  <si>
    <t>Access fees</t>
  </si>
  <si>
    <t>Fixed w/s fees and discounts</t>
  </si>
  <si>
    <t>Total data fee calculated</t>
  </si>
  <si>
    <t>Per sub</t>
  </si>
  <si>
    <t xml:space="preserve">SIM fee </t>
  </si>
  <si>
    <t>Fixed access charges</t>
  </si>
  <si>
    <t>SIM.fee</t>
  </si>
  <si>
    <t xml:space="preserve">Wholesale costs </t>
  </si>
  <si>
    <t>Wholesale costs - per subscriber and traffic only</t>
  </si>
  <si>
    <t xml:space="preserve">NOK per month </t>
  </si>
  <si>
    <t>output.wholesale.costs.segment.1.offers</t>
  </si>
  <si>
    <t>output.wholesale.costs.segment.2.offers</t>
  </si>
  <si>
    <t>output.wholesale.costs.segment.3.offers</t>
  </si>
  <si>
    <t>output.wholesale.costs.segment.4.offers</t>
  </si>
  <si>
    <t>segment.split</t>
  </si>
  <si>
    <t>All segments</t>
  </si>
  <si>
    <t>output.revenue.all</t>
  </si>
  <si>
    <t>output.wholesale.costs.all</t>
  </si>
  <si>
    <t>output.interconnection.costs.all</t>
  </si>
  <si>
    <t>output.retail.costs.all</t>
  </si>
  <si>
    <t>NOK / minute or SMS or MB</t>
  </si>
  <si>
    <t>Total termination costs for traffic</t>
  </si>
  <si>
    <t>Roaming cost calculation</t>
  </si>
  <si>
    <t>Unit cost</t>
  </si>
  <si>
    <t>Total roaming costs for traffic</t>
  </si>
  <si>
    <t>Fixed wholesale costs and discounts - at segment level</t>
  </si>
  <si>
    <t>Unit fees</t>
  </si>
  <si>
    <t>Applicable ?</t>
  </si>
  <si>
    <t>Applicable total monthly fee</t>
  </si>
  <si>
    <t xml:space="preserve">NOK </t>
  </si>
  <si>
    <t>Per subscriber</t>
  </si>
  <si>
    <t>In- and outgoing voice traffic</t>
  </si>
  <si>
    <t>Million minutes per month</t>
  </si>
  <si>
    <t>Total wholesale charges pre discount</t>
  </si>
  <si>
    <t xml:space="preserve"> o/w fixed</t>
  </si>
  <si>
    <t>o/w subscriber-based</t>
  </si>
  <si>
    <t>discount.turnover.interval</t>
  </si>
  <si>
    <t>Applicable to revenues</t>
  </si>
  <si>
    <t>Remaining</t>
  </si>
  <si>
    <t>Discount</t>
  </si>
  <si>
    <t>Turn-over based discount</t>
  </si>
  <si>
    <t>Total final discount</t>
  </si>
  <si>
    <t>NOK/month per subscriber</t>
  </si>
  <si>
    <t>Fixed wholesale fees and discounts</t>
  </si>
  <si>
    <t>Output (fixed fees minus wholesale discounts)</t>
  </si>
  <si>
    <t>output.fixed.ws.all</t>
  </si>
  <si>
    <t>output.fixed.ws.segment.1</t>
  </si>
  <si>
    <t>output.fixed.ws.segment.2</t>
  </si>
  <si>
    <t>output.fixed.ws.segment.3</t>
  </si>
  <si>
    <t>output.fixed.ws.segment.4</t>
  </si>
  <si>
    <t>Revenue per subscriber</t>
  </si>
  <si>
    <t>Total revenue</t>
  </si>
  <si>
    <t>VAS cost calculation</t>
  </si>
  <si>
    <t xml:space="preserve">Unit cost </t>
  </si>
  <si>
    <t>Termination, roaming and VAS</t>
  </si>
  <si>
    <t>VAS.IC</t>
  </si>
  <si>
    <t>Total VAS cost</t>
  </si>
  <si>
    <t>2.0</t>
  </si>
  <si>
    <t>Version before public consultation and data request - after feedback from Nkom</t>
  </si>
  <si>
    <t>Settings</t>
  </si>
  <si>
    <t>2.1</t>
  </si>
  <si>
    <t>National SMS</t>
  </si>
  <si>
    <t>International SMS</t>
  </si>
  <si>
    <t>Version before public consultation and data request - after additional feedback from Nkom</t>
  </si>
  <si>
    <t>2.2</t>
  </si>
  <si>
    <t>3.0</t>
  </si>
  <si>
    <t>Lower boundary ("from") per wholesale offer</t>
  </si>
  <si>
    <t>Higher boundary ("to") per wholesale offer</t>
  </si>
  <si>
    <t>Rebate scale inputs per wholesale offer</t>
  </si>
  <si>
    <t>Handset revenues</t>
  </si>
  <si>
    <t>ARPU including  fixed fees, traffic and termination</t>
  </si>
  <si>
    <t>One-off from separated accounts</t>
  </si>
  <si>
    <t>Billed handset revenues</t>
  </si>
  <si>
    <t>Blended  for the segment</t>
  </si>
  <si>
    <t>Roaming.IC</t>
  </si>
  <si>
    <t>Handset and other revenues</t>
  </si>
  <si>
    <t>ARPU for subscription and usage</t>
  </si>
  <si>
    <t>Updated version following public consultation</t>
  </si>
  <si>
    <t>Fixed wholesale costs and discounts - at overall level</t>
  </si>
  <si>
    <t>3.1</t>
  </si>
  <si>
    <t>Updated version taking into Nkom feedback</t>
  </si>
  <si>
    <t>3.2</t>
  </si>
  <si>
    <t>Updated Telenor subscriber numbers</t>
  </si>
  <si>
    <t>3.3</t>
  </si>
  <si>
    <t>Updated 2015 market statistics</t>
  </si>
  <si>
    <t>First population with Telenor data</t>
  </si>
  <si>
    <t>4.1</t>
  </si>
  <si>
    <t>4.3</t>
  </si>
  <si>
    <t>Reflecting new Telenor data and wholesale reference offers</t>
  </si>
  <si>
    <t>22 December 2016</t>
  </si>
  <si>
    <t>4.4</t>
  </si>
  <si>
    <t>17 January 2017</t>
  </si>
  <si>
    <t>Correcting errors found by Nkom</t>
  </si>
  <si>
    <t>4.5</t>
  </si>
  <si>
    <t>Further checking by Analysys Mason and Nkom</t>
  </si>
  <si>
    <t>24 January 2017</t>
  </si>
  <si>
    <t>Content: BankID</t>
  </si>
  <si>
    <t>Content: Other</t>
  </si>
  <si>
    <t>Content messages: BankID</t>
  </si>
  <si>
    <t>Content messages: other</t>
  </si>
  <si>
    <t>SP</t>
  </si>
  <si>
    <t>wholesale.offer.types</t>
  </si>
  <si>
    <t>Wholesale offer type</t>
  </si>
  <si>
    <t>lbl.MVNO</t>
  </si>
  <si>
    <t>lbl.SP</t>
  </si>
  <si>
    <t>Wholesale offer type selected</t>
  </si>
  <si>
    <t>wholesale.offers.type</t>
  </si>
  <si>
    <t>wholesale.offer.type.selected</t>
  </si>
  <si>
    <t>Updated version for 2019, draft</t>
  </si>
  <si>
    <t>Domestic origination</t>
  </si>
  <si>
    <t>VAS origination</t>
  </si>
  <si>
    <t>Roaming origination</t>
  </si>
  <si>
    <t xml:space="preserve">Incoming </t>
  </si>
  <si>
    <t>National data</t>
  </si>
  <si>
    <t>VAS minutes</t>
  </si>
  <si>
    <t>VAS BankID</t>
  </si>
  <si>
    <t>Other VAS messages</t>
  </si>
  <si>
    <t>Roaming voice</t>
  </si>
  <si>
    <t>Roaming messages</t>
  </si>
  <si>
    <t>Roaming data</t>
  </si>
  <si>
    <t>Voice termination</t>
  </si>
  <si>
    <t>Message termination</t>
  </si>
  <si>
    <t>Spare 1</t>
  </si>
  <si>
    <t>subscribers.aop</t>
  </si>
  <si>
    <t>Total volumes</t>
  </si>
  <si>
    <t>volumes.by.demand.descriptions</t>
  </si>
  <si>
    <t>demand.descriptions</t>
  </si>
  <si>
    <t>Volumes per subscriber</t>
  </si>
  <si>
    <t>per.sub.volumes.by.demand.descriptions</t>
  </si>
  <si>
    <t>voice.destination.domestic</t>
  </si>
  <si>
    <t>distribution.outgoing.voice.by.destination</t>
  </si>
  <si>
    <t>offers.segment.all</t>
  </si>
  <si>
    <t>Wholesale data pricing tiers</t>
  </si>
  <si>
    <t>wholesale.data.tiers</t>
  </si>
  <si>
    <t>distribution.data.wholesale.tier</t>
  </si>
  <si>
    <t>Spare offer 19</t>
  </si>
  <si>
    <t>NOK/message</t>
  </si>
  <si>
    <t>NOK/minute</t>
  </si>
  <si>
    <t>To have same start-point as previous end-point</t>
  </si>
  <si>
    <t>Total monthly turnover (in NOK)</t>
  </si>
  <si>
    <t>Proportion of income</t>
  </si>
  <si>
    <t>Incoming termination</t>
  </si>
  <si>
    <t>demand.descriptions.short</t>
  </si>
  <si>
    <t>revenue.descriptions</t>
  </si>
  <si>
    <t>Fee revenue</t>
  </si>
  <si>
    <t>revenue.descriptions.short</t>
  </si>
  <si>
    <t>revenues.by.revenues.descriptions</t>
  </si>
  <si>
    <t>per.sub.revenues.by.revenues.descriptions</t>
  </si>
  <si>
    <t>Traffic splits</t>
  </si>
  <si>
    <t>Volumes (excluding roaming)</t>
  </si>
  <si>
    <t>Lock-in</t>
  </si>
  <si>
    <t>Selection for basic services</t>
  </si>
  <si>
    <t>Selection for VAS services</t>
  </si>
  <si>
    <t>Selection for roaming services</t>
  </si>
  <si>
    <t>Selection for monthly fees</t>
  </si>
  <si>
    <t>Recurring</t>
  </si>
  <si>
    <t>Other fees</t>
  </si>
  <si>
    <t>options.selected.basic</t>
  </si>
  <si>
    <t>options.selected.VAS</t>
  </si>
  <si>
    <t>options.selected.roaming</t>
  </si>
  <si>
    <t>options.selected.monthly</t>
  </si>
  <si>
    <t>Selection for termination</t>
  </si>
  <si>
    <t>options.selected.termination</t>
  </si>
  <si>
    <t>data.per.month.segment.1</t>
  </si>
  <si>
    <t>data.per.month.segment.4</t>
  </si>
  <si>
    <t>data.per.month.segment.3</t>
  </si>
  <si>
    <t>data.per.month.segment.2</t>
  </si>
  <si>
    <t>Traffic consumption per subscriber</t>
  </si>
  <si>
    <t>out.SMS.per.month.segment.1</t>
  </si>
  <si>
    <t>out.SMS.per.month.segment.2</t>
  </si>
  <si>
    <t>out.SMS.per.month.segment.3</t>
  </si>
  <si>
    <t>out.SMS.per.month.segment.4</t>
  </si>
  <si>
    <t>out.min.per.month.segment.1</t>
  </si>
  <si>
    <t>out.min.per.month.segment.2</t>
  </si>
  <si>
    <t>out.min.per.month.segment.3</t>
  </si>
  <si>
    <t>out.min.per.month.segment.4</t>
  </si>
  <si>
    <t>in.min.per.month.segment.4</t>
  </si>
  <si>
    <t>in.SMS.per.month.segment.4</t>
  </si>
  <si>
    <t>in.min.per.month.segment.3</t>
  </si>
  <si>
    <t>in.SMS.per.month.segment.3</t>
  </si>
  <si>
    <t>in.min.per.month.segment.1</t>
  </si>
  <si>
    <t>in.SMS.per.month.segment.1</t>
  </si>
  <si>
    <t>in.min.per.month.segment.2</t>
  </si>
  <si>
    <t>in.SMS.per.month.segment.2</t>
  </si>
  <si>
    <t>Voice destination including incoming</t>
  </si>
  <si>
    <t>voice.destination.plus.in</t>
  </si>
  <si>
    <t>SMS.destination.plus.in</t>
  </si>
  <si>
    <t>out.split.min.per.month.segment.1</t>
  </si>
  <si>
    <t>out.split.min.per.month.segment.2</t>
  </si>
  <si>
    <t>out.split.min.per.month.segment.3</t>
  </si>
  <si>
    <t>out.split.min.per.month.segment.4</t>
  </si>
  <si>
    <t>out.split.SMS.per.month.segment.1</t>
  </si>
  <si>
    <t>out.split.SMS.per.month.segment.2</t>
  </si>
  <si>
    <t>out.split.SMS.per.month.segment.3</t>
  </si>
  <si>
    <t>out.split.SMS.per.month.segment.4</t>
  </si>
  <si>
    <t>Voice and SMS traffic</t>
  </si>
  <si>
    <t>destination.IC</t>
  </si>
  <si>
    <t>Total interconnection costs per offer</t>
  </si>
  <si>
    <t>out.IC.min.per.month.segment.1</t>
  </si>
  <si>
    <t>out.IC.min.per.month.segment.2</t>
  </si>
  <si>
    <t>out.IC.min.per.month.segment.3</t>
  </si>
  <si>
    <t>out.IC.min.per.month.segment.4</t>
  </si>
  <si>
    <t>out.IC.SMS.per.month.segment.1</t>
  </si>
  <si>
    <t>out.IC.SMS.per.month.segment.2</t>
  </si>
  <si>
    <t>out.IC.SMS.per.month.segment.3</t>
  </si>
  <si>
    <t>out.IC.SMS.per.month.segment.4</t>
  </si>
  <si>
    <t>Roaming voice (EEA)</t>
  </si>
  <si>
    <t>Roaming voice (non-EEA)</t>
  </si>
  <si>
    <t>Roaming messages (EEA)</t>
  </si>
  <si>
    <t>Roaming messages (non-EEA)</t>
  </si>
  <si>
    <t>Roaming data (EEA)</t>
  </si>
  <si>
    <t>Roaming data (non-EEA)</t>
  </si>
  <si>
    <t>options.selected.roaming.detailed</t>
  </si>
  <si>
    <t>Selection for detailed roaming</t>
  </si>
  <si>
    <t>Demand</t>
  </si>
  <si>
    <t>5.0</t>
  </si>
  <si>
    <t>Wholesale discounts</t>
  </si>
  <si>
    <t>current.MVNO.and.SP.offer</t>
  </si>
  <si>
    <t>check.current.MVNO.SP.access.fee</t>
  </si>
  <si>
    <t>check.current.MVNO.SP.voice</t>
  </si>
  <si>
    <t>check.current.MVNO.SP.SMS</t>
  </si>
  <si>
    <t>check.current.MVNO.SP.termination</t>
  </si>
  <si>
    <t>check.current.MVNO.SP.data</t>
  </si>
  <si>
    <t>check.current.MVNO.SP.roaming</t>
  </si>
  <si>
    <t>check.current.MVNO.SP.VAS</t>
  </si>
  <si>
    <t>Uplift sensitivity</t>
  </si>
  <si>
    <t>data.uplift.sensitivity</t>
  </si>
  <si>
    <t>V</t>
  </si>
  <si>
    <t>A history of the versions of this workbook</t>
  </si>
  <si>
    <t>Version history</t>
  </si>
  <si>
    <t>NB Use Window Unfreeze Panes (on each worksheet) to have row 1 scroll with the rest of the worksheet</t>
  </si>
  <si>
    <r>
      <t xml:space="preserve">NB Consider using Insert &gt; Header &amp; Footer &gt; Sheet &gt; </t>
    </r>
    <r>
      <rPr>
        <u/>
        <sz val="8"/>
        <rFont val="Arial"/>
        <family val="2"/>
      </rPr>
      <t>R</t>
    </r>
    <r>
      <rPr>
        <sz val="8"/>
        <rFont val="Arial"/>
        <family val="2"/>
      </rPr>
      <t>ows to repeat at top: $1:$1 to include row 1 at the top of all printed pages</t>
    </r>
  </si>
  <si>
    <t>NB These styles change a variety of different aspects of a cell's formatting (as appropriate to the context)</t>
  </si>
  <si>
    <t>NB All number styles use the decimal symbol and digit grouping symbol (thousands separator) defined under Regional Options in Control Panel. So if you want to change them do it there, and not here in Excel !</t>
  </si>
  <si>
    <t>NB Most number styles leave space for a ')' to the right of the number, but only the Currency styles actually use '(…)' for negatives</t>
  </si>
  <si>
    <t>NB These styles change only the font used in a cell</t>
  </si>
  <si>
    <t>NB These styles change a variety of different aspects of cell formatting (as appropriate to the context)</t>
  </si>
  <si>
    <t>Examples of use</t>
  </si>
  <si>
    <t>NB To avoid having spurious names in this template the names shown below have not actually been created</t>
  </si>
  <si>
    <t>Name of segment</t>
  </si>
  <si>
    <t>Segment A</t>
  </si>
  <si>
    <t>Segment B</t>
  </si>
  <si>
    <t>Segment C</t>
  </si>
  <si>
    <t>Segment D</t>
  </si>
  <si>
    <t>Type of wholesale offer</t>
  </si>
  <si>
    <t>InLists</t>
  </si>
  <si>
    <t>Volumes</t>
  </si>
  <si>
    <t>InVolumes</t>
  </si>
  <si>
    <t>InRevenues</t>
  </si>
  <si>
    <t>InWholesaleIC</t>
  </si>
  <si>
    <t>InRetailCosts</t>
  </si>
  <si>
    <t>FixedWholesale</t>
  </si>
  <si>
    <t>Wholesale</t>
  </si>
  <si>
    <t>IC</t>
  </si>
  <si>
    <t>Checks for consistent naming</t>
  </si>
  <si>
    <t>check.naming.consistency</t>
  </si>
  <si>
    <t>Contains lists and definitions for the Excel workbook</t>
  </si>
  <si>
    <t>Links in the demand information from Telenor</t>
  </si>
  <si>
    <t>Links in the revenue information from Telenor</t>
  </si>
  <si>
    <t>Links in the wholesale interconnect information from Telenor</t>
  </si>
  <si>
    <t>Calculates demand information by segment and product</t>
  </si>
  <si>
    <t>Shows the key settings and outputs for the margin squeeze model</t>
  </si>
  <si>
    <t>Calculates revenue information by segment and product</t>
  </si>
  <si>
    <t>Calculates fixed wholesale costs by segment</t>
  </si>
  <si>
    <t>Calculates wholesale costs by segment</t>
  </si>
  <si>
    <t>Calculates interconnect costs by segment</t>
  </si>
  <si>
    <t>4.5.3</t>
  </si>
  <si>
    <t>Version of model including changes for April 2019 Telenor submission</t>
  </si>
  <si>
    <t>Roaming CF (EEA)</t>
  </si>
  <si>
    <t>Roaming CF (non-EEA)</t>
  </si>
  <si>
    <t>Other checks</t>
  </si>
  <si>
    <t>Labelling consistency</t>
  </si>
  <si>
    <t>Current offers</t>
  </si>
  <si>
    <t>check.current.offers</t>
  </si>
  <si>
    <t>check.product.weights</t>
  </si>
  <si>
    <t>Product weights</t>
  </si>
  <si>
    <t>Weight in segment</t>
  </si>
  <si>
    <t>Split of traffic</t>
  </si>
  <si>
    <t>Data traffic tiers</t>
  </si>
  <si>
    <t>Domestic voice</t>
  </si>
  <si>
    <t>Fixed costs</t>
  </si>
  <si>
    <t>Tested subscribers</t>
  </si>
  <si>
    <t>Effective date</t>
  </si>
  <si>
    <t>effective.date</t>
  </si>
  <si>
    <t>Retail calculations</t>
  </si>
  <si>
    <t>Input data</t>
  </si>
  <si>
    <t>Inflation data</t>
  </si>
  <si>
    <t>Cost assumptions</t>
  </si>
  <si>
    <t>Year / month</t>
  </si>
  <si>
    <t>CPI at start date</t>
  </si>
  <si>
    <t>start.date</t>
  </si>
  <si>
    <t>CPI at effective date</t>
  </si>
  <si>
    <t>Cost trend options</t>
  </si>
  <si>
    <t>Inflation</t>
  </si>
  <si>
    <t>cost.trend.options</t>
  </si>
  <si>
    <t>retail.cost.trend.chosen</t>
  </si>
  <si>
    <t>Calculated cost trend</t>
  </si>
  <si>
    <t>Start date</t>
  </si>
  <si>
    <t>Years elapsed</t>
  </si>
  <si>
    <t>Selected cost trend</t>
  </si>
  <si>
    <t>retail.number.subscribers.test.segment.all</t>
  </si>
  <si>
    <t>Extracted from https://www.ssb.no/en/priser-og-prisindekser/statistikker/kpi/maaned</t>
  </si>
  <si>
    <t>Total annual cost</t>
  </si>
  <si>
    <t>Total annual current cost</t>
  </si>
  <si>
    <t>Separated accounts data</t>
  </si>
  <si>
    <t>Contains input data related to retail costs and revenues</t>
  </si>
  <si>
    <t>fixed.cost.synergy.both.segments</t>
  </si>
  <si>
    <t>Fixed cost reduction from operating in both segments (should be non-negative)</t>
  </si>
  <si>
    <t>SP: wholesale costs for VAS is input as IC Costs below</t>
  </si>
  <si>
    <t>Are MVNO prices ever higher than SP prices?</t>
  </si>
  <si>
    <t>Costs per unit traffic from Telenor's SP agreement</t>
  </si>
  <si>
    <t>output.additional.revenue.all</t>
  </si>
  <si>
    <t>output.additional.revenue.segment.1</t>
  </si>
  <si>
    <t>output.additional.revenue.segment.2</t>
  </si>
  <si>
    <t>output.additional.revenue.segment.3</t>
  </si>
  <si>
    <t>output.additional.revenue.segment.4</t>
  </si>
  <si>
    <t>External cost per subscriber</t>
  </si>
  <si>
    <t>total.other.external.costs</t>
  </si>
  <si>
    <t>total.mobile.handsets.revenues</t>
  </si>
  <si>
    <t>total.other.additional.revenues</t>
  </si>
  <si>
    <t>total.mobile.handsets.external.costs</t>
  </si>
  <si>
    <t>Total external cost</t>
  </si>
  <si>
    <t>output.external.costs.segment.1</t>
  </si>
  <si>
    <t>output.external.costs.segment.2</t>
  </si>
  <si>
    <t>output.external.costs.segment.3</t>
  </si>
  <si>
    <t>output.external.costs.segment.4</t>
  </si>
  <si>
    <t>Chosen retail variable cost trends</t>
  </si>
  <si>
    <t>Variable cost per subscriber (excluding external costs)</t>
  </si>
  <si>
    <t>Total monthly retail cost per subscriber</t>
  </si>
  <si>
    <t>Other</t>
  </si>
  <si>
    <t>Additional retail revenues and external costs by segment</t>
  </si>
  <si>
    <t>Market data for selected year</t>
  </si>
  <si>
    <t>Annualised inflation over time elapsed</t>
  </si>
  <si>
    <t>Retail cost trend</t>
  </si>
  <si>
    <t>Test</t>
  </si>
  <si>
    <t>Redacted cell</t>
  </si>
  <si>
    <t>A cell that has had its contents removed since they are confidential in nature</t>
  </si>
  <si>
    <t>Applicable?</t>
  </si>
  <si>
    <t>o/w fixed</t>
  </si>
  <si>
    <t>Calculated</t>
  </si>
  <si>
    <t>Overall results</t>
  </si>
  <si>
    <t>Breach of lock-in</t>
  </si>
  <si>
    <t>5.1</t>
  </si>
  <si>
    <t>Updated version for 2019, final</t>
  </si>
  <si>
    <t>Average access price per megabyte</t>
  </si>
  <si>
    <t>output.average.cost.per.MB.segment.1</t>
  </si>
  <si>
    <t>output.average.cost.per.MB.segment.2</t>
  </si>
  <si>
    <t>output.average.cost.per.MB.segment.3</t>
  </si>
  <si>
    <t>output.average.cost.per.MB.segment.4</t>
  </si>
  <si>
    <t>Average cost per megabyte</t>
  </si>
  <si>
    <t>5.2</t>
  </si>
  <si>
    <t>Updated version for ESA notification</t>
  </si>
  <si>
    <t>output.average.cost.per.MB.all.sub.weighted</t>
  </si>
  <si>
    <t>Data speed options</t>
  </si>
  <si>
    <t>Unlimited</t>
  </si>
  <si>
    <t>data.speed.options</t>
  </si>
  <si>
    <t>Chosen data speed</t>
  </si>
  <si>
    <t>chosen.data.speed</t>
  </si>
  <si>
    <t>Data - price per MB</t>
  </si>
  <si>
    <t>space</t>
  </si>
  <si>
    <t>Set cell D29 to be equal to cell O36</t>
  </si>
  <si>
    <t>All Unlimited</t>
  </si>
  <si>
    <t>list.data.speed.choices</t>
  </si>
  <si>
    <t>Data prices</t>
  </si>
  <si>
    <t>data.speed.options.segment.1</t>
  </si>
  <si>
    <t>data.speed.options.segment.2</t>
  </si>
  <si>
    <t>data.speed.options.segment.3</t>
  </si>
  <si>
    <t>data.speed.options.segment.4</t>
  </si>
  <si>
    <t>Data speed choices</t>
  </si>
  <si>
    <t>5.3</t>
  </si>
  <si>
    <t>Updated version with wholesale data speeds</t>
  </si>
  <si>
    <t>As provided by Telenor</t>
  </si>
  <si>
    <t>5.3.1</t>
  </si>
  <si>
    <t>Finalised version</t>
  </si>
  <si>
    <t>Market data for year-average</t>
  </si>
  <si>
    <t>Spare offer 17</t>
  </si>
  <si>
    <t>Spare offer 9</t>
  </si>
  <si>
    <t>Spare offer 12</t>
  </si>
  <si>
    <t>Spare offer 13</t>
  </si>
  <si>
    <t>Spare offer 14</t>
  </si>
  <si>
    <t>Spare offer 15</t>
  </si>
  <si>
    <t>Spare offer 16</t>
  </si>
  <si>
    <t>Spare offer 7</t>
  </si>
  <si>
    <t>Spare offer 3</t>
  </si>
  <si>
    <t>Spare offer 4</t>
  </si>
  <si>
    <t>Spare offer 5</t>
  </si>
  <si>
    <t>Spare offer 6</t>
  </si>
  <si>
    <t>150Mbit/s</t>
  </si>
  <si>
    <t>15Mbit/s</t>
  </si>
  <si>
    <t>All 150Mbit/s</t>
  </si>
  <si>
    <t>All 15Mbit/s</t>
  </si>
  <si>
    <t>Updates in 2022</t>
  </si>
  <si>
    <t>prop.mobile.handset.revenue.by.segment</t>
  </si>
  <si>
    <t>prop.mobile.handset.cost.by.segment</t>
  </si>
  <si>
    <t>prop.mobile.other.revenue.by.segment</t>
  </si>
  <si>
    <t>prop.mobile.other.cost.by.segment</t>
  </si>
  <si>
    <t>5.4</t>
  </si>
  <si>
    <t>Categories</t>
  </si>
  <si>
    <t>list.revenue.and.cost.handset.and.other</t>
  </si>
  <si>
    <t>Split of revenues and costs between segments</t>
  </si>
  <si>
    <t>Spare offer 1</t>
  </si>
  <si>
    <t>Spare offer 2</t>
  </si>
  <si>
    <t>Spare offer 8</t>
  </si>
  <si>
    <t>Spare offer 10</t>
  </si>
  <si>
    <t>Spare offer 11</t>
  </si>
  <si>
    <t>Spare offer 18</t>
  </si>
  <si>
    <t>Spare offer 20</t>
  </si>
  <si>
    <t>W/S spare tier 1</t>
  </si>
  <si>
    <t>W/S spare tier 2</t>
  </si>
  <si>
    <t>W/S spare tier 3</t>
  </si>
  <si>
    <t>W/S spare tier 4</t>
  </si>
  <si>
    <t>W/S spare tier 5</t>
  </si>
  <si>
    <t>W/S spare tier 6</t>
  </si>
  <si>
    <t>W/S spare tier 7</t>
  </si>
  <si>
    <t>W/S spare tier 8</t>
  </si>
  <si>
    <t>W/S spare tier 9</t>
  </si>
  <si>
    <t>SpareOfferA1</t>
  </si>
  <si>
    <t>SpareOfferA2</t>
  </si>
  <si>
    <t>SpareOfferA3</t>
  </si>
  <si>
    <t>SpareOfferA4</t>
  </si>
  <si>
    <t>SpareOfferA5</t>
  </si>
  <si>
    <t>SpareOfferA6</t>
  </si>
  <si>
    <t>SpareOfferA7</t>
  </si>
  <si>
    <t>SpareOfferA8</t>
  </si>
  <si>
    <t>SpareOfferA9</t>
  </si>
  <si>
    <t>SpareOfferA10</t>
  </si>
  <si>
    <t>SpareOfferA11</t>
  </si>
  <si>
    <t>SpareOfferA12</t>
  </si>
  <si>
    <t>SpareOfferA13</t>
  </si>
  <si>
    <t>SpareOfferA14</t>
  </si>
  <si>
    <t>SpareOfferA15</t>
  </si>
  <si>
    <t>SpareOfferA16</t>
  </si>
  <si>
    <t>SpareOfferA17</t>
  </si>
  <si>
    <t>SpareOfferA18</t>
  </si>
  <si>
    <t>SpareOfferA19</t>
  </si>
  <si>
    <t>SpareOfferA20</t>
  </si>
  <si>
    <t>SpareOfferA21</t>
  </si>
  <si>
    <t>SpareOfferA22</t>
  </si>
  <si>
    <t>SpareOfferA23</t>
  </si>
  <si>
    <t>SpareOfferA24</t>
  </si>
  <si>
    <t>SpareOfferA25</t>
  </si>
  <si>
    <t>SpareOfferA26</t>
  </si>
  <si>
    <t>SpareOfferA27</t>
  </si>
  <si>
    <t>SpareOfferA28</t>
  </si>
  <si>
    <t>SpareOfferA29</t>
  </si>
  <si>
    <t>SpareOfferA30</t>
  </si>
  <si>
    <t>SpareOfferA31</t>
  </si>
  <si>
    <t>SpareOfferA32</t>
  </si>
  <si>
    <t>SpareOfferA33</t>
  </si>
  <si>
    <t>SpareOfferA34</t>
  </si>
  <si>
    <t>SpareOfferA35</t>
  </si>
  <si>
    <t>SpareOfferB1</t>
  </si>
  <si>
    <t>SpareOfferB2</t>
  </si>
  <si>
    <t>SpareOfferB3</t>
  </si>
  <si>
    <t>SpareOfferB4</t>
  </si>
  <si>
    <t>SpareOfferB5</t>
  </si>
  <si>
    <t>SpareOfferB6</t>
  </si>
  <si>
    <t>SpareOfferB7</t>
  </si>
  <si>
    <t>SpareOfferB8</t>
  </si>
  <si>
    <t>SpareOfferB9</t>
  </si>
  <si>
    <t>SpareOfferB10</t>
  </si>
  <si>
    <t>SpareOfferB11</t>
  </si>
  <si>
    <t>SpareOfferB12</t>
  </si>
  <si>
    <t>SpareOfferB13</t>
  </si>
  <si>
    <t>SpareOfferB14</t>
  </si>
  <si>
    <t>SpareOfferB15</t>
  </si>
  <si>
    <t>SpareOfferB16</t>
  </si>
  <si>
    <t>SpareOfferB17</t>
  </si>
  <si>
    <t>SpareOfferB18</t>
  </si>
  <si>
    <t>SpareOfferB19</t>
  </si>
  <si>
    <t>SpareOfferB20</t>
  </si>
  <si>
    <t>SpareOfferB21</t>
  </si>
  <si>
    <t>SpareOfferB22</t>
  </si>
  <si>
    <t>SpareOfferB23</t>
  </si>
  <si>
    <t>SpareOfferB24</t>
  </si>
  <si>
    <t>SpareOfferB25</t>
  </si>
  <si>
    <t>SpareOfferB26</t>
  </si>
  <si>
    <t>SpareOfferB27</t>
  </si>
  <si>
    <t>SpareOfferB28</t>
  </si>
  <si>
    <t>SpareOfferB29</t>
  </si>
  <si>
    <t>SpareOfferB30</t>
  </si>
  <si>
    <t>SpareOfferB31</t>
  </si>
  <si>
    <t>SpareOfferB32</t>
  </si>
  <si>
    <t>SpareOfferB33</t>
  </si>
  <si>
    <t>SpareOfferB34</t>
  </si>
  <si>
    <t>SpareOfferB35</t>
  </si>
  <si>
    <t>Residential</t>
  </si>
  <si>
    <t>Business</t>
  </si>
  <si>
    <t>SpareSegmentC</t>
  </si>
  <si>
    <t>SpareSegmentD</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</si>
  <si>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</si>
  <si>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</si>
  <si>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</si>
  <si>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</si>
  <si>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</si>
  <si>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</si>
  <si>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</si>
  <si>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</si>
  <si>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</si>
  <si>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</si>
  <si>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</si>
  <si>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</si>
  <si>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</si>
  <si>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</si>
  <si>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</si>
  <si>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</si>
  <si>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</si>
  <si>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</si>
  <si>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</si>
  <si>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</si>
  <si>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</si>
  <si>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</si>
  <si>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</si>
  <si>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</si>
  <si>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</si>
  <si>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</si>
  <si>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</si>
  <si>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</si>
  <si>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</si>
  <si>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</si>
  <si>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SpareOfferC31</t>
  </si>
  <si>
    <t>SpareOfferC32</t>
  </si>
  <si>
    <t>SpareOfferC33</t>
  </si>
  <si>
    <t>SpareOfferC34</t>
  </si>
  <si>
    <t>SpareOfferC35</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</si>
  <si>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</si>
  <si>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</si>
  <si>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</si>
  <si>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</si>
  <si>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</si>
  <si>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</si>
  <si>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</si>
  <si>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</si>
  <si>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</si>
  <si>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</si>
  <si>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</si>
  <si>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</si>
  <si>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</si>
  <si>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</si>
  <si>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</si>
  <si>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</si>
  <si>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</si>
  <si>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</si>
  <si>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</si>
  <si>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</si>
  <si>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</si>
  <si>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</si>
  <si>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</si>
  <si>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</si>
  <si>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</si>
  <si>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</si>
  <si>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</si>
  <si>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</si>
  <si>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</si>
  <si>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</si>
  <si>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SpareOfferD31</t>
  </si>
  <si>
    <t>SpareOfferD32</t>
  </si>
  <si>
    <t>SpareOfferD33</t>
  </si>
  <si>
    <t>SpareOfferD34</t>
  </si>
  <si>
    <t>-</t>
  </si>
  <si>
    <t>Revenues: Mobile handsets</t>
  </si>
  <si>
    <t>Revenues: Other (additional)</t>
  </si>
  <si>
    <t>External costs: Mobile handset</t>
  </si>
  <si>
    <t>External costs: Other</t>
  </si>
  <si>
    <t>Average subscribers</t>
  </si>
  <si>
    <t>Spare 2</t>
  </si>
  <si>
    <t>Spare 3</t>
  </si>
  <si>
    <t>Month-average subscribers</t>
  </si>
  <si>
    <t>Voice minutes originated in Norway to domestic destinations</t>
  </si>
  <si>
    <t>Voice minutes originated in Norway to international destinations</t>
  </si>
  <si>
    <t>Messages originated in Norway to domestic destinations</t>
  </si>
  <si>
    <t>Messages originated in Norway to international destinations</t>
  </si>
  <si>
    <t>Data megabytes originated in Norway</t>
  </si>
  <si>
    <t>Originated VAS minutes</t>
  </si>
  <si>
    <t>BankID messages</t>
  </si>
  <si>
    <t>Voice minutes originated abroad inside the EEA</t>
  </si>
  <si>
    <t>Voice minutes originated abroad outside the EEA</t>
  </si>
  <si>
    <t>Call forwarding while roaming for calls originated abroad inside the EEA</t>
  </si>
  <si>
    <t>Call forwarding while roaming for calls originated abroad outside the EEA</t>
  </si>
  <si>
    <t>Voice minutes originated abroad</t>
  </si>
  <si>
    <t>Messages originated abroad inside the EEA</t>
  </si>
  <si>
    <t>Messages originated abroad outside the EEA</t>
  </si>
  <si>
    <t>Messages originated abroad</t>
  </si>
  <si>
    <t>Data megabytes originated abroad inside the EEA</t>
  </si>
  <si>
    <t>Data megabytes originated abroad outside the EEA</t>
  </si>
  <si>
    <t>Data megabytes originated abroad</t>
  </si>
  <si>
    <t>Voice minutes terminated from other networks</t>
  </si>
  <si>
    <t>Messages terminated from other networks</t>
  </si>
  <si>
    <t>5.5</t>
  </si>
  <si>
    <t>Updates in 2023</t>
  </si>
  <si>
    <t>Year-average values from Ekomstatistikken, extracted September 2023</t>
  </si>
  <si>
    <t>Telenor subscriptions (mobiltelefoni only)</t>
  </si>
  <si>
    <t>Mobile market subscriptions (mobiltelefoni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</si>
</sst>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7">
    <numFmt numFmtId="43" formatCode="_-* #,##0.00_-;\-* #,##0.00_-;_-* &quot;-&quot;??_-;_-@_-"/>
    <numFmt numFmtId="164" formatCode="_ * #,##0_ ;_ * \-#,##0_ ;_ * &quot;-&quot;_ ;_ @_ "/>
    <numFmt numFmtId="165" formatCode="_ * #,##0.00_ ;_ * \-#,##0.00_ ;_ * &quot;-&quot;??_ ;_ @_ "/>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_);[Red]\-#,##0_);&quot;-&quot;?_);@_)"/>
    <numFmt numFmtId="188" formatCode="#,##0.00_);[Red]\-#,##0.00_);&quot;-&quot;?_);@_)"/>
    <numFmt numFmtId="189" formatCode="#,##0%;[Red]\-#,##0%;&quot;-&quot;\%;@_)"/>
    <numFmt numFmtId="190" formatCode="#,##0.00%;[Red]\-#,##0.00%;&quot;-&quot;\%;@_)"/>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0.000_);[Red]\-#,##0.000_);&quot;-&quot;?_);@_)"/>
    <numFmt numFmtId="223" formatCode="#,##0.0_);[Red]\-#,##0.0_);&quot;-&quot;?_);@_)"/>
    <numFmt numFmtId="224" formatCode="_-* #,##0_-;\-* #,##0_-;_-* &quot;-&quot;??_-;_-@_-"/>
    <numFmt numFmtId="225" formatCode="* _(#,##0.000_);[Red]* \(#,##0.000\);* _(&quot;-&quot;?_);@_)"/>
    <numFmt numFmtId="226" formatCode="#,##0.0%;[Red]\-#,##0.0%;&quot;-&quot;\%;@_)"/>
    <numFmt numFmtId="227" formatCode="* _(#,##0.0000_);[Red]* \(#,##0.0000\);* _(&quot;-&quot;?_);@_)"/>
    <numFmt numFmtId="228" formatCode="#,##0.000%;[Red]\-#,##0.000%;&quot;-&quot;\%;@_)"/>
    <numFmt numFmtId="229" formatCode="* _(#,##0.00000_);[Red]* \(#,##0.00000\);* _(&quot;-&quot;?_);@_)"/>
  </numFmts>
  <fonts count="82">
    <font>
      <sz val="9"/>
      <name val="Arial"/>
      <family val="2"/>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sz val="9"/>
      <color theme="0" tint="-0.24994659260841701"/>
      <name val="Arial"/>
      <family val="2"/>
    </font>
    <font>
      <b/>
      <sz val="9"/>
      <color rgb="FF000000"/>
      <name val="Arial"/>
      <family val="2"/>
    </font>
    <font>
      <sz val="8"/>
      <color rgb="FFFF0000"/>
      <name val="Arial"/>
      <family val="2"/>
    </font>
    <font>
      <sz val="9"/>
      <color indexed="55"/>
      <name val="Arial"/>
      <family val="2"/>
    </font>
    <font>
      <sz val="8"/>
      <color rgb="FF0070C0"/>
      <name val="Arial"/>
      <family val="2"/>
    </font>
    <font>
      <u/>
      <sz val="8"/>
      <name val="Arial"/>
      <family val="2"/>
    </font>
    <font>
      <b/>
      <sz val="8"/>
      <color rgb="FF0070C0"/>
      <name val="Arial"/>
      <family val="2"/>
    </font>
  </fonts>
  <fills count="94">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rgb="FFFF6600"/>
        <bgColor indexed="64"/>
      </patternFill>
    </fill>
    <fill>
      <patternFill patternType="solid">
        <fgColor rgb="FF00B050"/>
        <bgColor indexed="64"/>
      </patternFill>
    </fill>
    <fill>
      <patternFill patternType="solid">
        <fgColor rgb="FF000000"/>
        <bgColor indexed="64"/>
      </patternFill>
    </fill>
    <fill>
      <patternFill patternType="solid">
        <fgColor rgb="FFC4D0E9"/>
        <bgColor rgb="FF221F72"/>
      </patternFill>
    </fill>
    <fill>
      <patternFill patternType="solid">
        <fgColor rgb="FF00B0F0"/>
        <bgColor rgb="FF221F72"/>
      </patternFill>
    </fill>
    <fill>
      <patternFill patternType="solid">
        <fgColor rgb="FF0070C0"/>
        <bgColor rgb="FF221F72"/>
      </patternFill>
    </fill>
    <fill>
      <patternFill patternType="solid">
        <fgColor theme="8" tint="-0.249977111117893"/>
        <bgColor rgb="FF221F72"/>
      </patternFill>
    </fill>
    <fill>
      <patternFill patternType="solid">
        <fgColor rgb="FFFFFAB3"/>
        <bgColor rgb="FF221F72"/>
      </patternFill>
    </fill>
    <fill>
      <patternFill patternType="solid">
        <fgColor rgb="FFFFE0A0"/>
        <bgColor rgb="FF221F72"/>
      </patternFill>
    </fill>
    <fill>
      <patternFill patternType="solid">
        <fgColor rgb="FFFFC000"/>
        <bgColor rgb="FF221F72"/>
      </patternFill>
    </fill>
    <fill>
      <patternFill patternType="solid">
        <fgColor rgb="FF00B050"/>
        <bgColor rgb="FF221F72"/>
      </patternFill>
    </fill>
    <fill>
      <patternFill patternType="solid">
        <fgColor rgb="FFC00000"/>
        <bgColor rgb="FF221F72"/>
      </patternFill>
    </fill>
    <fill>
      <patternFill patternType="solid">
        <fgColor rgb="FFC00000"/>
        <bgColor indexed="64"/>
      </patternFill>
    </fill>
    <fill>
      <patternFill patternType="solid">
        <fgColor rgb="FF0070C0"/>
        <bgColor indexed="64"/>
      </patternFill>
    </fill>
    <fill>
      <patternFill patternType="solid">
        <fgColor theme="5"/>
        <bgColor indexed="64"/>
      </patternFill>
    </fill>
    <fill>
      <patternFill patternType="solid">
        <fgColor theme="0" tint="-0.14999847407452621"/>
        <bgColor indexed="64"/>
      </patternFill>
    </fill>
    <fill>
      <patternFill patternType="solid">
        <fgColor theme="9"/>
        <bgColor indexed="64"/>
      </patternFill>
    </fill>
    <fill>
      <patternFill patternType="solid">
        <fgColor theme="9"/>
        <bgColor indexed="15"/>
      </patternFill>
    </fill>
    <fill>
      <patternFill patternType="solid">
        <fgColor theme="8" tint="0.39997558519241921"/>
        <bgColor indexed="64"/>
      </patternFill>
    </fill>
  </fills>
  <borders count="49">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theme="0"/>
      </right>
      <top/>
      <bottom/>
      <diagonal/>
    </border>
    <border>
      <left style="thick">
        <color theme="0"/>
      </left>
      <right/>
      <top/>
      <bottom/>
      <diagonal/>
    </border>
    <border>
      <left/>
      <right/>
      <top/>
      <bottom style="thin">
        <color indexed="8"/>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diagonal/>
    </border>
    <border>
      <left/>
      <right style="thin">
        <color rgb="FF0000FF"/>
      </right>
      <top/>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s>
  <cellStyleXfs count="754">
    <xf numFmtId="0" fontId="0" fillId="0" borderId="0">
      <alignment vertical="center"/>
    </xf>
    <xf numFmtId="0" fontId="4" fillId="0" borderId="0" applyNumberFormat="0" applyAlignment="0">
      <alignment vertical="center"/>
    </xf>
    <xf numFmtId="167" fontId="10" fillId="0" borderId="0" applyNumberFormat="0" applyAlignment="0">
      <alignment vertical="center"/>
    </xf>
    <xf numFmtId="0" fontId="13" fillId="10" borderId="0" applyNumberFormat="0">
      <alignment horizontal="center" vertical="top" wrapText="1"/>
    </xf>
    <xf numFmtId="0" fontId="13" fillId="8" borderId="0" applyNumberFormat="0">
      <alignment horizontal="left" vertical="top" wrapText="1"/>
    </xf>
    <xf numFmtId="0" fontId="13" fillId="8" borderId="0" applyNumberFormat="0">
      <alignment horizontal="centerContinuous" vertical="top"/>
    </xf>
    <xf numFmtId="0" fontId="14" fillId="8" borderId="0" applyNumberFormat="0">
      <alignment horizontal="center" vertical="top" wrapText="1"/>
    </xf>
    <xf numFmtId="171" fontId="4" fillId="0" borderId="0" applyFont="0" applyFill="0" applyBorder="0" applyAlignment="0" applyProtection="0">
      <alignment vertical="center"/>
    </xf>
    <xf numFmtId="171" fontId="4" fillId="0" borderId="0" applyFont="0" applyFill="0" applyBorder="0" applyAlignment="0" applyProtection="0">
      <alignment vertical="center"/>
    </xf>
    <xf numFmtId="172" fontId="4" fillId="0" borderId="0" applyFont="0" applyFill="0" applyBorder="0" applyAlignment="0" applyProtection="0">
      <alignment vertical="center"/>
    </xf>
    <xf numFmtId="177" fontId="4" fillId="0" borderId="0" applyFont="0" applyFill="0" applyBorder="0" applyAlignment="0" applyProtection="0">
      <alignment vertical="center"/>
    </xf>
    <xf numFmtId="178" fontId="4" fillId="0" borderId="0" applyFont="0" applyFill="0" applyBorder="0" applyAlignment="0" applyProtection="0">
      <alignment vertical="center"/>
    </xf>
    <xf numFmtId="175" fontId="4" fillId="0" borderId="0" applyFont="0" applyFill="0" applyBorder="0" applyAlignment="0" applyProtection="0">
      <alignment vertical="center"/>
    </xf>
    <xf numFmtId="176" fontId="4" fillId="0" borderId="0" applyFont="0" applyFill="0" applyBorder="0" applyAlignment="0" applyProtection="0">
      <alignment vertical="center"/>
    </xf>
    <xf numFmtId="173" fontId="4" fillId="0" borderId="0" applyFont="0" applyFill="0" applyBorder="0" applyAlignment="0" applyProtection="0">
      <alignment vertical="center"/>
    </xf>
    <xf numFmtId="174" fontId="4" fillId="0" borderId="0" applyFont="0" applyFill="0" applyBorder="0" applyAlignment="0" applyProtection="0">
      <alignment vertical="center"/>
    </xf>
    <xf numFmtId="183" fontId="4" fillId="0" borderId="0" applyFont="0" applyFill="0" applyBorder="0" applyAlignment="0" applyProtection="0">
      <alignment vertical="center"/>
    </xf>
    <xf numFmtId="184" fontId="4" fillId="0" borderId="0" applyFont="0" applyFill="0" applyBorder="0" applyAlignment="0" applyProtection="0">
      <alignment vertical="center"/>
    </xf>
    <xf numFmtId="181" fontId="4" fillId="0" borderId="0" applyFont="0" applyFill="0" applyBorder="0" applyAlignment="0" applyProtection="0">
      <alignment vertical="center"/>
    </xf>
    <xf numFmtId="182" fontId="4" fillId="0" borderId="0" applyFont="0" applyFill="0" applyBorder="0" applyAlignment="0" applyProtection="0">
      <alignment vertical="center"/>
    </xf>
    <xf numFmtId="179" fontId="4" fillId="0" borderId="0" applyFont="0" applyFill="0" applyBorder="0" applyAlignment="0" applyProtection="0">
      <alignment vertical="center"/>
    </xf>
    <xf numFmtId="180" fontId="4" fillId="0" borderId="0" applyFont="0" applyFill="0" applyBorder="0" applyAlignment="0" applyProtection="0">
      <alignment vertical="center"/>
    </xf>
    <xf numFmtId="170" fontId="4" fillId="0" borderId="0" applyFont="0" applyFill="0" applyBorder="0" applyAlignment="0" applyProtection="0">
      <alignment vertical="center"/>
    </xf>
    <xf numFmtId="185" fontId="4" fillId="0" borderId="0" applyFont="0" applyFill="0" applyBorder="0" applyAlignment="0" applyProtection="0">
      <alignment vertical="center"/>
    </xf>
    <xf numFmtId="186" fontId="4" fillId="0" borderId="0" applyFont="0" applyFill="0" applyBorder="0" applyAlignment="0" applyProtection="0">
      <alignment vertical="center"/>
    </xf>
    <xf numFmtId="0" fontId="6" fillId="0" borderId="0" applyNumberFormat="0" applyFill="0" applyBorder="0" applyAlignment="0" applyProtection="0">
      <alignment vertical="center"/>
    </xf>
    <xf numFmtId="0" fontId="3" fillId="0" borderId="0" applyNumberFormat="0" applyFill="0" applyBorder="0" applyAlignment="0" applyProtection="0">
      <alignment horizontal="left" vertical="center"/>
    </xf>
    <xf numFmtId="0" fontId="7" fillId="0" borderId="0" applyNumberFormat="0" applyFill="0" applyBorder="0" applyAlignment="0" applyProtection="0">
      <alignment vertical="center"/>
    </xf>
    <xf numFmtId="0" fontId="4" fillId="11" borderId="0" applyNumberFormat="0" applyFont="0" applyBorder="0" applyAlignment="0" applyProtection="0">
      <alignment vertical="center"/>
    </xf>
    <xf numFmtId="0" fontId="4" fillId="0" borderId="8" applyNumberFormat="0" applyAlignment="0">
      <alignment vertical="center"/>
    </xf>
    <xf numFmtId="0" fontId="4" fillId="0" borderId="3" applyNumberFormat="0" applyAlignment="0">
      <alignment vertical="center"/>
      <protection locked="0"/>
    </xf>
    <xf numFmtId="166" fontId="4" fillId="3" borderId="3" applyNumberFormat="0" applyAlignment="0">
      <alignment vertical="center"/>
      <protection locked="0"/>
    </xf>
    <xf numFmtId="0" fontId="4" fillId="4" borderId="0" applyNumberFormat="0" applyAlignment="0">
      <alignment vertical="center"/>
    </xf>
    <xf numFmtId="0" fontId="4" fillId="6" borderId="0" applyNumberFormat="0" applyAlignment="0">
      <alignment vertical="center"/>
    </xf>
    <xf numFmtId="0" fontId="4" fillId="5" borderId="0" applyNumberFormat="0" applyAlignment="0">
      <alignment vertical="center"/>
    </xf>
    <xf numFmtId="0" fontId="4" fillId="0" borderId="2" applyNumberFormat="0" applyAlignment="0">
      <alignment vertical="center"/>
      <protection locked="0"/>
    </xf>
    <xf numFmtId="0" fontId="12" fillId="0" borderId="0" applyNumberFormat="0" applyAlignment="0">
      <alignment vertical="center"/>
    </xf>
    <xf numFmtId="0" fontId="9" fillId="0" borderId="0" applyNumberFormat="0" applyFill="0" applyBorder="0" applyAlignment="0" applyProtection="0">
      <alignment vertical="center"/>
    </xf>
    <xf numFmtId="187" fontId="4" fillId="0" borderId="0" applyFont="0" applyFill="0" applyBorder="0" applyAlignment="0" applyProtection="0">
      <alignment vertical="center"/>
    </xf>
    <xf numFmtId="188" fontId="4" fillId="0" borderId="0" applyFont="0" applyFill="0" applyBorder="0" applyAlignment="0" applyProtection="0">
      <alignment vertical="center"/>
    </xf>
    <xf numFmtId="0" fontId="4" fillId="7" borderId="0" applyNumberFormat="0" applyFont="0" applyBorder="0" applyAlignment="0" applyProtection="0">
      <alignment vertical="center"/>
    </xf>
    <xf numFmtId="189" fontId="4" fillId="0" borderId="0" applyFont="0" applyFill="0" applyBorder="0" applyAlignment="0" applyProtection="0">
      <alignment horizontal="right" vertical="center"/>
    </xf>
    <xf numFmtId="190" fontId="4" fillId="0" borderId="0" applyFont="0" applyFill="0" applyBorder="0" applyAlignment="0" applyProtection="0">
      <alignment vertical="center"/>
    </xf>
    <xf numFmtId="0" fontId="7" fillId="0" borderId="0" applyNumberFormat="0" applyFill="0" applyBorder="0">
      <alignment horizontal="left" vertical="center" wrapText="1"/>
    </xf>
    <xf numFmtId="0" fontId="4" fillId="0" borderId="0" applyNumberFormat="0" applyFill="0" applyBorder="0">
      <alignment horizontal="left" vertical="center" wrapText="1" indent="1"/>
    </xf>
    <xf numFmtId="166" fontId="7" fillId="0" borderId="4" applyNumberFormat="0" applyFill="0" applyAlignment="0" applyProtection="0">
      <alignment vertical="center"/>
    </xf>
    <xf numFmtId="166" fontId="4" fillId="0" borderId="5" applyNumberFormat="0" applyFont="0" applyFill="0" applyAlignment="0" applyProtection="0">
      <alignment vertical="center"/>
    </xf>
    <xf numFmtId="0" fontId="4" fillId="2" borderId="0" applyNumberFormat="0" applyFont="0" applyBorder="0" applyAlignment="0" applyProtection="0">
      <alignment vertical="center"/>
    </xf>
    <xf numFmtId="0" fontId="4" fillId="0" borderId="0" applyNumberFormat="0" applyFont="0" applyFill="0" applyAlignment="0" applyProtection="0">
      <alignment vertical="center"/>
    </xf>
    <xf numFmtId="166" fontId="4" fillId="0" borderId="0" applyNumberFormat="0" applyFont="0" applyBorder="0" applyAlignment="0" applyProtection="0">
      <alignment vertical="center"/>
    </xf>
    <xf numFmtId="49" fontId="4" fillId="0" borderId="0" applyFont="0" applyFill="0" applyBorder="0" applyAlignment="0" applyProtection="0">
      <alignment horizontal="center" vertical="center"/>
    </xf>
    <xf numFmtId="166" fontId="7" fillId="0" borderId="0" applyNumberFormat="0" applyFill="0" applyBorder="0" applyAlignment="0" applyProtection="0">
      <alignment vertical="center"/>
    </xf>
    <xf numFmtId="166" fontId="7" fillId="9" borderId="0" applyNumberFormat="0" applyAlignment="0" applyProtection="0">
      <alignment vertical="center"/>
    </xf>
    <xf numFmtId="0" fontId="4" fillId="0" borderId="0" applyNumberFormat="0" applyFont="0" applyBorder="0" applyAlignment="0" applyProtection="0">
      <alignment vertical="center"/>
    </xf>
    <xf numFmtId="0" fontId="4" fillId="0" borderId="0" applyNumberFormat="0" applyFont="0" applyAlignment="0" applyProtection="0">
      <alignment vertical="center"/>
    </xf>
    <xf numFmtId="0" fontId="4" fillId="0" borderId="0">
      <alignment vertical="center"/>
    </xf>
    <xf numFmtId="0" fontId="8" fillId="0" borderId="0" applyFill="0" applyBorder="0" applyAlignment="0" applyProtection="0">
      <alignment vertical="center"/>
    </xf>
    <xf numFmtId="0" fontId="5" fillId="0" borderId="0" applyFill="0" applyBorder="0" applyAlignment="0" applyProtection="0">
      <alignment vertical="center"/>
    </xf>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12" applyNumberFormat="0" applyAlignment="0" applyProtection="0"/>
    <xf numFmtId="0" fontId="23" fillId="0" borderId="13" applyNumberFormat="0" applyFill="0" applyAlignment="0" applyProtection="0"/>
    <xf numFmtId="0" fontId="24" fillId="16" borderId="1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7" fillId="40" borderId="0" applyNumberFormat="0" applyBorder="0" applyAlignment="0" applyProtection="0"/>
    <xf numFmtId="0" fontId="8" fillId="41" borderId="0" applyNumberFormat="0">
      <alignment vertical="center"/>
    </xf>
    <xf numFmtId="180" fontId="2" fillId="0" borderId="0"/>
    <xf numFmtId="165" fontId="2" fillId="0" borderId="0" applyFont="0" applyFill="0" applyBorder="0" applyAlignment="0" applyProtection="0"/>
    <xf numFmtId="9" fontId="2" fillId="0" borderId="0" applyFont="0" applyFill="0" applyBorder="0" applyAlignment="0" applyProtection="0"/>
    <xf numFmtId="0" fontId="29" fillId="0" borderId="0"/>
    <xf numFmtId="0" fontId="4" fillId="0" borderId="0">
      <alignment vertical="center"/>
    </xf>
    <xf numFmtId="180" fontId="8" fillId="41" borderId="0" applyNumberFormat="0">
      <alignment vertical="center"/>
    </xf>
    <xf numFmtId="0" fontId="10" fillId="0" borderId="0" applyAlignment="0">
      <alignment vertical="center"/>
    </xf>
    <xf numFmtId="180" fontId="7" fillId="41" borderId="0" applyNumberFormat="0">
      <alignment horizontal="center" vertical="top" wrapText="1"/>
    </xf>
    <xf numFmtId="180" fontId="7" fillId="41" borderId="0" applyNumberFormat="0">
      <alignment horizontal="left" vertical="top" wrapText="1"/>
    </xf>
    <xf numFmtId="180" fontId="7" fillId="41" borderId="0" applyNumberFormat="0">
      <alignment horizontal="centerContinuous" vertical="top"/>
    </xf>
    <xf numFmtId="180" fontId="4" fillId="41" borderId="0" applyNumberFormat="0">
      <alignment horizontal="center" vertical="top" wrapText="1"/>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219" fontId="4" fillId="0" borderId="0" applyFont="0" applyFill="0" applyBorder="0" applyAlignment="0" applyProtection="0">
      <alignment vertical="center"/>
    </xf>
    <xf numFmtId="180" fontId="4" fillId="0" borderId="0" applyFont="0" applyFill="0" applyBorder="0" applyAlignment="0" applyProtection="0">
      <alignment vertical="center"/>
    </xf>
    <xf numFmtId="221" fontId="4" fillId="0" borderId="0" applyFont="0" applyFill="0" applyBorder="0" applyAlignment="0" applyProtection="0">
      <alignment horizontal="right" vertical="center"/>
    </xf>
    <xf numFmtId="180" fontId="5" fillId="0" borderId="0" applyNumberFormat="0" applyFill="0" applyBorder="0" applyAlignment="0" applyProtection="0">
      <alignment vertical="center"/>
    </xf>
    <xf numFmtId="180" fontId="6" fillId="0" borderId="0" applyNumberFormat="0" applyFill="0" applyBorder="0" applyAlignment="0" applyProtection="0">
      <alignment vertical="center"/>
    </xf>
    <xf numFmtId="180" fontId="3" fillId="0" borderId="0" applyNumberFormat="0" applyFill="0" applyBorder="0" applyAlignment="0" applyProtection="0">
      <alignment horizontal="left" vertical="center"/>
    </xf>
    <xf numFmtId="180" fontId="7" fillId="0" borderId="0" applyNumberFormat="0" applyFill="0" applyBorder="0" applyAlignment="0" applyProtection="0">
      <alignment vertical="center"/>
    </xf>
    <xf numFmtId="180" fontId="4" fillId="42" borderId="0" applyNumberFormat="0" applyFont="0" applyBorder="0" applyAlignment="0" applyProtection="0">
      <alignment vertical="center"/>
    </xf>
    <xf numFmtId="0" fontId="4" fillId="0" borderId="15" applyNumberFormat="0" applyAlignment="0">
      <alignment vertical="center"/>
    </xf>
    <xf numFmtId="0" fontId="4" fillId="0" borderId="16" applyNumberFormat="0" applyAlignment="0">
      <alignment vertical="center"/>
      <protection locked="0"/>
    </xf>
    <xf numFmtId="166" fontId="4" fillId="43" borderId="16" applyNumberFormat="0" applyAlignment="0">
      <alignment vertical="center"/>
      <protection locked="0"/>
    </xf>
    <xf numFmtId="0" fontId="4" fillId="44" borderId="0" applyNumberFormat="0" applyAlignment="0">
      <alignment vertical="center"/>
    </xf>
    <xf numFmtId="180" fontId="4" fillId="45" borderId="0" applyNumberFormat="0" applyAlignment="0">
      <alignment vertical="center"/>
    </xf>
    <xf numFmtId="180" fontId="4" fillId="0" borderId="17" applyNumberFormat="0" applyAlignment="0">
      <alignment vertical="center"/>
      <protection locked="0"/>
    </xf>
    <xf numFmtId="180" fontId="30" fillId="0" borderId="0" applyNumberFormat="0" applyAlignment="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9" fontId="4" fillId="0" borderId="0" applyFont="0" applyFill="0" applyBorder="0" applyAlignment="0" applyProtection="0">
      <alignment vertical="center"/>
    </xf>
    <xf numFmtId="180" fontId="7" fillId="0" borderId="0" applyNumberFormat="0" applyFill="0" applyBorder="0">
      <alignment horizontal="left" vertical="center" wrapText="1"/>
    </xf>
    <xf numFmtId="180" fontId="4" fillId="0" borderId="0" applyNumberFormat="0" applyFill="0" applyBorder="0">
      <alignment horizontal="left" vertical="center" wrapText="1" indent="1"/>
    </xf>
    <xf numFmtId="166" fontId="7" fillId="0" borderId="18" applyNumberFormat="0" applyFill="0" applyAlignment="0" applyProtection="0">
      <alignment vertical="center"/>
    </xf>
    <xf numFmtId="166" fontId="4" fillId="0" borderId="19" applyNumberFormat="0" applyFont="0" applyFill="0" applyAlignment="0" applyProtection="0">
      <alignment vertical="center"/>
    </xf>
    <xf numFmtId="180" fontId="4" fillId="2" borderId="0" applyNumberFormat="0" applyFont="0" applyBorder="0" applyAlignment="0" applyProtection="0">
      <alignment vertical="center"/>
    </xf>
    <xf numFmtId="180" fontId="4" fillId="0" borderId="0" applyNumberFormat="0" applyFont="0" applyFill="0" applyAlignment="0" applyProtection="0">
      <alignment vertical="center"/>
    </xf>
    <xf numFmtId="166" fontId="7" fillId="41" borderId="0" applyNumberFormat="0" applyAlignment="0" applyProtection="0">
      <alignment vertical="center"/>
    </xf>
    <xf numFmtId="180" fontId="4" fillId="0" borderId="0" applyNumberFormat="0" applyFont="0" applyBorder="0" applyAlignment="0" applyProtection="0">
      <alignment vertical="center"/>
    </xf>
    <xf numFmtId="180" fontId="4" fillId="0" borderId="0" applyNumberFormat="0" applyFont="0" applyAlignment="0" applyProtection="0">
      <alignment vertical="center"/>
    </xf>
    <xf numFmtId="180" fontId="9" fillId="0" borderId="0" applyNumberFormat="0" applyFill="0" applyBorder="0" applyAlignment="0" applyProtection="0">
      <alignment vertical="center"/>
    </xf>
    <xf numFmtId="0" fontId="4" fillId="0" borderId="0" applyAlignment="0">
      <alignment vertical="center"/>
    </xf>
    <xf numFmtId="166" fontId="7" fillId="0" borderId="0" applyNumberFormat="0" applyFill="0" applyBorder="0" applyAlignment="0" applyProtection="0">
      <alignment vertical="center"/>
    </xf>
    <xf numFmtId="180" fontId="4" fillId="47" borderId="0" applyNumberFormat="0" applyFont="0" applyBorder="0" applyAlignment="0" applyProtection="0">
      <alignment vertical="center"/>
    </xf>
    <xf numFmtId="171" fontId="4" fillId="0" borderId="0" applyFont="0" applyFill="0" applyBorder="0" applyAlignment="0" applyProtection="0">
      <alignment vertical="center"/>
    </xf>
    <xf numFmtId="0" fontId="4" fillId="0" borderId="0">
      <alignment vertical="center"/>
    </xf>
    <xf numFmtId="0" fontId="26" fillId="0" borderId="0" applyFill="0" applyBorder="0" applyAlignment="0" applyProtection="0"/>
    <xf numFmtId="171" fontId="4" fillId="0" borderId="0">
      <alignment vertical="center"/>
    </xf>
    <xf numFmtId="0" fontId="2" fillId="0" borderId="0"/>
    <xf numFmtId="0" fontId="26" fillId="0" borderId="0" applyFill="0" applyBorder="0" applyAlignment="0" applyProtection="0"/>
    <xf numFmtId="180" fontId="2" fillId="0" borderId="0"/>
    <xf numFmtId="180" fontId="2" fillId="0" borderId="0"/>
    <xf numFmtId="180" fontId="2" fillId="0" borderId="0"/>
    <xf numFmtId="180" fontId="31" fillId="46" borderId="20" applyNumberFormat="0" applyAlignment="0" applyProtection="0"/>
    <xf numFmtId="0" fontId="4" fillId="44" borderId="0" applyNumberFormat="0" applyAlignment="0">
      <alignment vertical="center"/>
    </xf>
    <xf numFmtId="0" fontId="29" fillId="0" borderId="0"/>
    <xf numFmtId="0" fontId="29" fillId="0" borderId="0"/>
    <xf numFmtId="0" fontId="33" fillId="0" borderId="0" applyNumberFormat="0" applyFill="0" applyBorder="0" applyAlignment="0"/>
    <xf numFmtId="0" fontId="34" fillId="0" borderId="0"/>
    <xf numFmtId="0" fontId="35" fillId="0" borderId="0"/>
    <xf numFmtId="0" fontId="34" fillId="0" borderId="0"/>
    <xf numFmtId="0" fontId="35" fillId="0" borderId="0"/>
    <xf numFmtId="192" fontId="36" fillId="0" borderId="0" applyBorder="0">
      <alignment horizontal="center" vertical="center"/>
      <protection locked="0"/>
    </xf>
    <xf numFmtId="0" fontId="37" fillId="0" borderId="0">
      <protection locked="0"/>
    </xf>
    <xf numFmtId="0" fontId="38" fillId="0" borderId="0">
      <protection locked="0"/>
    </xf>
    <xf numFmtId="0" fontId="38"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38" fontId="39" fillId="2" borderId="0" applyNumberFormat="0" applyBorder="0" applyAlignment="0" applyProtection="0"/>
    <xf numFmtId="0" fontId="40" fillId="48" borderId="22" applyNumberFormat="0" applyProtection="0">
      <alignment vertical="center"/>
    </xf>
    <xf numFmtId="0" fontId="9" fillId="48" borderId="23" applyNumberFormat="0" applyProtection="0"/>
    <xf numFmtId="0" fontId="40" fillId="48" borderId="24" applyNumberFormat="0" applyProtection="0">
      <alignment vertical="center"/>
    </xf>
    <xf numFmtId="0" fontId="40" fillId="48" borderId="25" applyNumberFormat="0" applyProtection="0">
      <alignment vertical="center"/>
    </xf>
    <xf numFmtId="10" fontId="39" fillId="49" borderId="21" applyNumberFormat="0" applyBorder="0" applyAlignment="0" applyProtection="0"/>
    <xf numFmtId="164" fontId="29" fillId="0" borderId="0" applyFont="0" applyFill="0" applyBorder="0" applyAlignment="0" applyProtection="0"/>
    <xf numFmtId="165" fontId="29" fillId="0" borderId="0" applyFont="0" applyFill="0" applyBorder="0" applyAlignment="0" applyProtection="0"/>
    <xf numFmtId="193" fontId="29" fillId="0" borderId="0" applyFont="0" applyFill="0" applyBorder="0" applyAlignment="0" applyProtection="0"/>
    <xf numFmtId="194" fontId="29" fillId="0" borderId="0" applyFont="0" applyFill="0" applyBorder="0" applyAlignment="0" applyProtection="0"/>
    <xf numFmtId="195" fontId="41" fillId="0" borderId="0"/>
    <xf numFmtId="0" fontId="29" fillId="0" borderId="0"/>
    <xf numFmtId="0" fontId="29" fillId="0" borderId="0"/>
    <xf numFmtId="10" fontId="29"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0" fontId="43" fillId="0" borderId="0" applyNumberFormat="0" applyAlignment="0" applyProtection="0"/>
    <xf numFmtId="165" fontId="2" fillId="0" borderId="0" applyFont="0" applyFill="0" applyBorder="0" applyAlignment="0" applyProtection="0"/>
    <xf numFmtId="165" fontId="44" fillId="0" borderId="0" applyFont="0" applyFill="0" applyBorder="0" applyAlignment="0" applyProtection="0"/>
    <xf numFmtId="196" fontId="29" fillId="0" borderId="0" applyFont="0" applyFill="0" applyBorder="0" applyAlignment="0" applyProtection="0"/>
    <xf numFmtId="197" fontId="29" fillId="0" borderId="0" applyFont="0" applyFill="0" applyBorder="0" applyAlignment="0" applyProtection="0"/>
    <xf numFmtId="0" fontId="2" fillId="0" borderId="0"/>
    <xf numFmtId="180" fontId="2" fillId="0" borderId="0"/>
    <xf numFmtId="0" fontId="2" fillId="0" borderId="0"/>
    <xf numFmtId="0" fontId="29" fillId="0" borderId="0"/>
    <xf numFmtId="198" fontId="45" fillId="0" borderId="0" applyFont="0" applyFill="0" applyBorder="0" applyAlignment="0" applyProtection="0"/>
    <xf numFmtId="0" fontId="29" fillId="0" borderId="0"/>
    <xf numFmtId="0" fontId="2" fillId="0" borderId="0"/>
    <xf numFmtId="0" fontId="2" fillId="0" borderId="0"/>
    <xf numFmtId="0" fontId="29" fillId="0" borderId="0"/>
    <xf numFmtId="0" fontId="2" fillId="0" borderId="0"/>
    <xf numFmtId="0" fontId="29" fillId="0" borderId="0"/>
    <xf numFmtId="0" fontId="2" fillId="0" borderId="0"/>
    <xf numFmtId="0" fontId="29" fillId="0" borderId="0"/>
    <xf numFmtId="0" fontId="26" fillId="0" borderId="0" applyFill="0" applyBorder="0" applyAlignment="0" applyProtection="0"/>
    <xf numFmtId="0" fontId="29" fillId="0" borderId="0"/>
    <xf numFmtId="0" fontId="29" fillId="0" borderId="0"/>
    <xf numFmtId="180" fontId="2" fillId="0" borderId="0"/>
    <xf numFmtId="0" fontId="29" fillId="0" borderId="0"/>
    <xf numFmtId="0" fontId="2" fillId="0" borderId="0"/>
    <xf numFmtId="0" fontId="29" fillId="0" borderId="0"/>
    <xf numFmtId="0" fontId="29" fillId="0" borderId="0"/>
    <xf numFmtId="0" fontId="29" fillId="0" borderId="0"/>
    <xf numFmtId="0" fontId="29" fillId="0" borderId="0"/>
    <xf numFmtId="0" fontId="2" fillId="0" borderId="0"/>
    <xf numFmtId="0" fontId="29" fillId="0" borderId="0"/>
    <xf numFmtId="0" fontId="29" fillId="0" borderId="0"/>
    <xf numFmtId="0" fontId="2" fillId="0" borderId="0"/>
    <xf numFmtId="180" fontId="2" fillId="0" borderId="0"/>
    <xf numFmtId="18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9"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41" borderId="0" applyNumberFormat="0">
      <alignment horizontal="center" vertical="top" wrapText="1"/>
    </xf>
    <xf numFmtId="0" fontId="7" fillId="41" borderId="0" applyNumberFormat="0">
      <alignment horizontal="left" vertical="top" wrapText="1"/>
    </xf>
    <xf numFmtId="0" fontId="7" fillId="41" borderId="0" applyNumberFormat="0">
      <alignment horizontal="centerContinuous" vertical="top"/>
    </xf>
    <xf numFmtId="0" fontId="4" fillId="41" borderId="0" applyNumberFormat="0">
      <alignment horizontal="center" vertical="top" wrapText="1"/>
    </xf>
    <xf numFmtId="0" fontId="5" fillId="0" borderId="0" applyNumberFormat="0" applyFill="0" applyBorder="0" applyAlignment="0" applyProtection="0">
      <alignment vertical="center"/>
    </xf>
    <xf numFmtId="0" fontId="7" fillId="41" borderId="0" applyNumberFormat="0">
      <alignment horizontal="center" vertical="top" wrapText="1"/>
    </xf>
    <xf numFmtId="0" fontId="4" fillId="42" borderId="0" applyNumberFormat="0" applyFont="0" applyBorder="0" applyAlignment="0" applyProtection="0">
      <alignment vertical="center"/>
    </xf>
    <xf numFmtId="0" fontId="4" fillId="44" borderId="0" applyNumberFormat="0" applyAlignment="0">
      <alignment vertical="center"/>
    </xf>
    <xf numFmtId="0" fontId="4" fillId="45" borderId="0" applyNumberFormat="0" applyAlignment="0">
      <alignment vertical="center"/>
    </xf>
    <xf numFmtId="0" fontId="4" fillId="0" borderId="17" applyNumberFormat="0" applyAlignment="0">
      <alignment vertical="center"/>
      <protection locked="0"/>
    </xf>
    <xf numFmtId="0" fontId="30" fillId="0" borderId="0" applyNumberFormat="0" applyAlignment="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0" fontId="4" fillId="47" borderId="0" applyNumberFormat="0" applyFont="0" applyBorder="0" applyAlignment="0" applyProtection="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left" vertical="top" wrapText="1"/>
    </xf>
    <xf numFmtId="0" fontId="32" fillId="52" borderId="0" applyNumberFormat="0">
      <alignment horizontal="centerContinuous" vertical="top"/>
    </xf>
    <xf numFmtId="0" fontId="47" fillId="52" borderId="0" applyNumberFormat="0">
      <alignment horizontal="center" vertical="top" wrapText="1"/>
    </xf>
    <xf numFmtId="0" fontId="32" fillId="52" borderId="0" applyNumberFormat="0">
      <alignment horizontal="center" vertical="top" wrapText="1"/>
    </xf>
    <xf numFmtId="19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2"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0" fontId="48" fillId="0" borderId="0" applyNumberFormat="0" applyFill="0" applyBorder="0" applyProtection="0">
      <alignment vertical="top" wrapText="1"/>
    </xf>
    <xf numFmtId="0" fontId="31" fillId="46" borderId="20" applyNumberFormat="0" applyAlignment="0" applyProtection="0"/>
    <xf numFmtId="0" fontId="46" fillId="46" borderId="12" applyNumberFormat="0" applyAlignment="0" applyProtection="0"/>
    <xf numFmtId="0" fontId="2" fillId="50" borderId="26" applyNumberFormat="0" applyFont="0" applyAlignment="0" applyProtection="0"/>
    <xf numFmtId="0" fontId="28" fillId="0" borderId="27" applyNumberFormat="0" applyFill="0" applyAlignment="0" applyProtection="0"/>
    <xf numFmtId="0" fontId="51" fillId="0" borderId="0"/>
    <xf numFmtId="0" fontId="29" fillId="0" borderId="0"/>
    <xf numFmtId="203" fontId="29" fillId="0" borderId="0" applyFont="0" applyFill="0" applyBorder="0" applyAlignment="0" applyProtection="0"/>
    <xf numFmtId="204" fontId="29" fillId="0" borderId="0" applyFont="0" applyFill="0" applyBorder="0" applyAlignment="0" applyProtection="0"/>
    <xf numFmtId="9" fontId="29" fillId="0" borderId="0" applyFont="0" applyFill="0" applyBorder="0" applyAlignment="0" applyProtection="0"/>
    <xf numFmtId="0" fontId="53" fillId="0" borderId="0"/>
    <xf numFmtId="9" fontId="53" fillId="0" borderId="0" applyFont="0" applyFill="0" applyBorder="0" applyAlignment="0" applyProtection="0"/>
    <xf numFmtId="0" fontId="2" fillId="0" borderId="0"/>
    <xf numFmtId="9" fontId="2" fillId="0" borderId="0" applyFont="0" applyFill="0" applyBorder="0" applyAlignment="0" applyProtection="0"/>
    <xf numFmtId="9" fontId="48" fillId="0" borderId="0" applyFont="0" applyFill="0" applyBorder="0" applyAlignment="0" applyProtection="0"/>
    <xf numFmtId="0" fontId="2" fillId="0" borderId="0"/>
    <xf numFmtId="204" fontId="48" fillId="0" borderId="0" applyFont="0" applyFill="0" applyBorder="0" applyAlignment="0" applyProtection="0"/>
    <xf numFmtId="0" fontId="52" fillId="0" borderId="0"/>
    <xf numFmtId="9" fontId="52" fillId="0" borderId="0" applyFont="0" applyFill="0" applyBorder="0" applyAlignment="0" applyProtection="0"/>
    <xf numFmtId="204" fontId="52" fillId="0" borderId="0" applyFont="0" applyFill="0" applyBorder="0" applyAlignment="0" applyProtection="0"/>
    <xf numFmtId="0" fontId="2" fillId="0" borderId="0"/>
    <xf numFmtId="204"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9" fontId="29" fillId="0" borderId="0" applyFont="0" applyFill="0" applyBorder="0" applyAlignment="0" applyProtection="0"/>
    <xf numFmtId="210" fontId="29" fillId="0" borderId="0" applyFont="0" applyFill="0" applyBorder="0" applyAlignment="0" applyProtection="0"/>
    <xf numFmtId="211" fontId="29" fillId="0" borderId="0" applyFont="0" applyFill="0" applyBorder="0" applyAlignment="0" applyProtection="0"/>
    <xf numFmtId="0" fontId="55" fillId="0" borderId="0" applyNumberFormat="0" applyFill="0" applyBorder="0" applyAlignment="0" applyProtection="0"/>
    <xf numFmtId="0" fontId="29" fillId="54" borderId="0" applyNumberFormat="0" applyFont="0" applyAlignment="0" applyProtection="0"/>
    <xf numFmtId="212" fontId="29" fillId="0" borderId="0" applyFont="0" applyFill="0" applyBorder="0" applyAlignment="0" applyProtection="0"/>
    <xf numFmtId="213" fontId="29" fillId="0" borderId="0" applyFont="0" applyFill="0" applyBorder="0" applyProtection="0">
      <alignment horizontal="right"/>
    </xf>
    <xf numFmtId="0" fontId="56" fillId="0" borderId="0" applyNumberFormat="0" applyFill="0" applyBorder="0" applyProtection="0">
      <alignment vertical="top"/>
    </xf>
    <xf numFmtId="0" fontId="57" fillId="0" borderId="28" applyNumberFormat="0" applyFill="0" applyAlignment="0" applyProtection="0"/>
    <xf numFmtId="0" fontId="58" fillId="0" borderId="29"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Border="0" applyProtection="0">
      <alignment horizontal="centerContinuous"/>
    </xf>
    <xf numFmtId="0" fontId="29" fillId="0" borderId="0"/>
    <xf numFmtId="0" fontId="60" fillId="0" borderId="0" applyNumberFormat="0" applyFill="0" applyBorder="0" applyAlignment="0" applyProtection="0"/>
    <xf numFmtId="0" fontId="61" fillId="0" borderId="0" applyNumberFormat="0" applyFill="0" applyBorder="0" applyProtection="0">
      <alignment vertical="center"/>
    </xf>
    <xf numFmtId="0" fontId="62" fillId="0" borderId="0" applyNumberFormat="0" applyFill="0" applyBorder="0" applyAlignment="0" applyProtection="0"/>
    <xf numFmtId="0" fontId="63" fillId="0" borderId="0"/>
    <xf numFmtId="0" fontId="64" fillId="0" borderId="0" applyNumberFormat="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0" fontId="35" fillId="0" borderId="0"/>
    <xf numFmtId="0" fontId="35" fillId="0" borderId="0"/>
    <xf numFmtId="205" fontId="29" fillId="0" borderId="0" applyFill="0" applyBorder="0" applyAlignment="0" applyProtection="0"/>
    <xf numFmtId="214" fontId="68" fillId="0" borderId="0" applyFill="0" applyBorder="0" applyAlignment="0" applyProtection="0"/>
    <xf numFmtId="215" fontId="68" fillId="0" borderId="0" applyFill="0" applyBorder="0" applyAlignment="0" applyProtection="0"/>
    <xf numFmtId="216" fontId="68" fillId="0" borderId="0" applyFill="0" applyBorder="0" applyAlignment="0" applyProtection="0"/>
    <xf numFmtId="3" fontId="29" fillId="0" borderId="0" applyFill="0" applyBorder="0" applyAlignment="0" applyProtection="0"/>
    <xf numFmtId="217" fontId="65" fillId="0" borderId="0" applyFill="0" applyBorder="0" applyProtection="0">
      <alignment horizontal="center" vertical="center"/>
    </xf>
    <xf numFmtId="191" fontId="68" fillId="0" borderId="0" applyFont="0" applyFill="0" applyBorder="0" applyAlignment="0" applyProtection="0"/>
    <xf numFmtId="191" fontId="69" fillId="0" borderId="0" applyFont="0" applyFill="0" applyBorder="0" applyAlignment="0" applyProtection="0"/>
    <xf numFmtId="4" fontId="50" fillId="54" borderId="30" applyNumberFormat="0" applyProtection="0">
      <alignment vertical="center"/>
    </xf>
    <xf numFmtId="4" fontId="70" fillId="53" borderId="30" applyNumberFormat="0" applyProtection="0">
      <alignment vertical="center"/>
    </xf>
    <xf numFmtId="4" fontId="50" fillId="53" borderId="30" applyNumberFormat="0" applyProtection="0">
      <alignment horizontal="left" vertical="center" indent="1"/>
    </xf>
    <xf numFmtId="0" fontId="50" fillId="53" borderId="30" applyNumberFormat="0" applyProtection="0">
      <alignment horizontal="left" vertical="top" indent="1"/>
    </xf>
    <xf numFmtId="4" fontId="50" fillId="55" borderId="0" applyNumberFormat="0" applyProtection="0">
      <alignment horizontal="left" vertical="center" indent="1"/>
    </xf>
    <xf numFmtId="4" fontId="49" fillId="56" borderId="30" applyNumberFormat="0" applyProtection="0">
      <alignment horizontal="right" vertical="center"/>
    </xf>
    <xf numFmtId="4" fontId="49" fillId="57" borderId="30" applyNumberFormat="0" applyProtection="0">
      <alignment horizontal="right" vertical="center"/>
    </xf>
    <xf numFmtId="4" fontId="49" fillId="58" borderId="30" applyNumberFormat="0" applyProtection="0">
      <alignment horizontal="right" vertical="center"/>
    </xf>
    <xf numFmtId="4" fontId="49" fillId="51" borderId="30" applyNumberFormat="0" applyProtection="0">
      <alignment horizontal="right" vertical="center"/>
    </xf>
    <xf numFmtId="4" fontId="49" fillId="59" borderId="30" applyNumberFormat="0" applyProtection="0">
      <alignment horizontal="right" vertical="center"/>
    </xf>
    <xf numFmtId="4" fontId="49" fillId="60" borderId="30" applyNumberFormat="0" applyProtection="0">
      <alignment horizontal="right" vertical="center"/>
    </xf>
    <xf numFmtId="4" fontId="49" fillId="61" borderId="30" applyNumberFormat="0" applyProtection="0">
      <alignment horizontal="right" vertical="center"/>
    </xf>
    <xf numFmtId="4" fontId="49" fillId="62" borderId="30" applyNumberFormat="0" applyProtection="0">
      <alignment horizontal="right" vertical="center"/>
    </xf>
    <xf numFmtId="4" fontId="49" fillId="63" borderId="30" applyNumberFormat="0" applyProtection="0">
      <alignment horizontal="right" vertical="center"/>
    </xf>
    <xf numFmtId="4" fontId="50" fillId="64" borderId="31" applyNumberFormat="0" applyProtection="0">
      <alignment horizontal="left" vertical="center" indent="1"/>
    </xf>
    <xf numFmtId="4" fontId="49" fillId="65" borderId="0" applyNumberFormat="0" applyProtection="0">
      <alignment horizontal="left" vertical="center" indent="1"/>
    </xf>
    <xf numFmtId="4" fontId="71" fillId="66" borderId="0" applyNumberFormat="0" applyProtection="0">
      <alignment horizontal="left" vertical="center" indent="1"/>
    </xf>
    <xf numFmtId="4" fontId="49" fillId="67" borderId="30" applyNumberFormat="0" applyProtection="0">
      <alignment horizontal="right" vertical="center"/>
    </xf>
    <xf numFmtId="4" fontId="49" fillId="65" borderId="0" applyNumberFormat="0" applyProtection="0">
      <alignment horizontal="left" vertical="center" indent="1"/>
    </xf>
    <xf numFmtId="4" fontId="49" fillId="55" borderId="0" applyNumberFormat="0" applyProtection="0">
      <alignment horizontal="left" vertical="center" indent="1"/>
    </xf>
    <xf numFmtId="0" fontId="29" fillId="66" borderId="30" applyNumberFormat="0" applyProtection="0">
      <alignment horizontal="left" vertical="center" indent="1"/>
    </xf>
    <xf numFmtId="0" fontId="29" fillId="66" borderId="30" applyNumberFormat="0" applyProtection="0">
      <alignment horizontal="left" vertical="top" indent="1"/>
    </xf>
    <xf numFmtId="0" fontId="29" fillId="55" borderId="30" applyNumberFormat="0" applyProtection="0">
      <alignment horizontal="left" vertical="center" indent="1"/>
    </xf>
    <xf numFmtId="0" fontId="29" fillId="55" borderId="30" applyNumberFormat="0" applyProtection="0">
      <alignment horizontal="left" vertical="top" indent="1"/>
    </xf>
    <xf numFmtId="0" fontId="29" fillId="68" borderId="30" applyNumberFormat="0" applyProtection="0">
      <alignment horizontal="left" vertical="center" indent="1"/>
    </xf>
    <xf numFmtId="0" fontId="29" fillId="68" borderId="30" applyNumberFormat="0" applyProtection="0">
      <alignment horizontal="left" vertical="top" indent="1"/>
    </xf>
    <xf numFmtId="0" fontId="29" fillId="41" borderId="30" applyNumberFormat="0" applyProtection="0">
      <alignment horizontal="left" vertical="center" indent="1"/>
    </xf>
    <xf numFmtId="0" fontId="29" fillId="41" borderId="30" applyNumberFormat="0" applyProtection="0">
      <alignment horizontal="left" vertical="top" indent="1"/>
    </xf>
    <xf numFmtId="4" fontId="49" fillId="49" borderId="30" applyNumberFormat="0" applyProtection="0">
      <alignment vertical="center"/>
    </xf>
    <xf numFmtId="4" fontId="72" fillId="49" borderId="30" applyNumberFormat="0" applyProtection="0">
      <alignment vertical="center"/>
    </xf>
    <xf numFmtId="4" fontId="49" fillId="49" borderId="30" applyNumberFormat="0" applyProtection="0">
      <alignment horizontal="left" vertical="center" indent="1"/>
    </xf>
    <xf numFmtId="0" fontId="49" fillId="49" borderId="30" applyNumberFormat="0" applyProtection="0">
      <alignment horizontal="left" vertical="top" indent="1"/>
    </xf>
    <xf numFmtId="4" fontId="49" fillId="65" borderId="30" applyNumberFormat="0" applyProtection="0">
      <alignment horizontal="right" vertical="center"/>
    </xf>
    <xf numFmtId="4" fontId="72" fillId="65" borderId="30" applyNumberFormat="0" applyProtection="0">
      <alignment horizontal="right" vertical="center"/>
    </xf>
    <xf numFmtId="4" fontId="49" fillId="67" borderId="30" applyNumberFormat="0" applyProtection="0">
      <alignment horizontal="left" vertical="center" indent="1"/>
    </xf>
    <xf numFmtId="0" fontId="49" fillId="55" borderId="30" applyNumberFormat="0" applyProtection="0">
      <alignment horizontal="left" vertical="top" indent="1"/>
    </xf>
    <xf numFmtId="4" fontId="73" fillId="69" borderId="0" applyNumberFormat="0" applyProtection="0">
      <alignment horizontal="left" vertical="center" indent="1"/>
    </xf>
    <xf numFmtId="4" fontId="54" fillId="65" borderId="30" applyNumberFormat="0" applyProtection="0">
      <alignment horizontal="right" vertical="center"/>
    </xf>
    <xf numFmtId="0" fontId="2" fillId="0" borderId="0"/>
    <xf numFmtId="0" fontId="2" fillId="0" borderId="0"/>
    <xf numFmtId="0" fontId="2" fillId="0" borderId="0"/>
    <xf numFmtId="0" fontId="2" fillId="0" borderId="0"/>
    <xf numFmtId="9" fontId="48" fillId="0" borderId="0" applyFont="0" applyFill="0" applyBorder="0" applyAlignment="0" applyProtection="0"/>
    <xf numFmtId="204" fontId="48" fillId="0" borderId="0" applyFont="0" applyFill="0" applyBorder="0" applyAlignment="0" applyProtection="0"/>
    <xf numFmtId="204" fontId="2" fillId="0" borderId="0" applyFont="0" applyFill="0" applyBorder="0" applyAlignment="0" applyProtection="0"/>
    <xf numFmtId="9" fontId="2" fillId="0" borderId="0" applyFont="0" applyFill="0" applyBorder="0" applyAlignment="0" applyProtection="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2" fillId="0" borderId="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7" fillId="41" borderId="0" applyNumberFormat="0">
      <alignment horizontal="center" vertical="top" wrapText="1"/>
    </xf>
    <xf numFmtId="0" fontId="32" fillId="52" borderId="0" applyNumberFormat="0">
      <alignment horizontal="center" vertical="top" wrapText="1"/>
    </xf>
    <xf numFmtId="200" fontId="4" fillId="0" borderId="0" applyFont="0" applyFill="0" applyBorder="0" applyAlignment="0" applyProtection="0">
      <alignment vertical="center"/>
    </xf>
    <xf numFmtId="218" fontId="4" fillId="0" borderId="0" applyFont="0" applyFill="0" applyBorder="0" applyAlignment="0" applyProtection="0">
      <alignment vertical="center"/>
    </xf>
    <xf numFmtId="0" fontId="4" fillId="0" borderId="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9" fontId="4" fillId="0" borderId="0" applyFont="0" applyFill="0" applyBorder="0" applyAlignment="0" applyProtection="0"/>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9" fontId="4" fillId="0" borderId="0" applyFont="0" applyFill="0" applyBorder="0" applyAlignment="0" applyProtection="0"/>
    <xf numFmtId="43" fontId="4" fillId="0" borderId="0" applyFont="0" applyFill="0" applyBorder="0" applyAlignment="0" applyProtection="0"/>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74" fillId="0" borderId="0" applyNumberFormat="0" applyFill="0" applyBorder="0" applyAlignment="0" applyProtection="0">
      <alignmen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0" fontId="7" fillId="41" borderId="0" applyNumberFormat="0">
      <alignment horizontal="center" vertical="top" wrapText="1"/>
    </xf>
    <xf numFmtId="0" fontId="4" fillId="44" borderId="0" applyNumberFormat="0" applyAlignment="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9" fontId="4"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80" fontId="1" fillId="0" borderId="0"/>
    <xf numFmtId="180" fontId="1" fillId="0" borderId="0"/>
    <xf numFmtId="180" fontId="1" fillId="0" borderId="0"/>
    <xf numFmtId="165" fontId="1" fillId="0" borderId="0" applyFont="0" applyFill="0" applyBorder="0" applyAlignment="0" applyProtection="0"/>
    <xf numFmtId="165" fontId="44" fillId="0" borderId="0" applyFont="0" applyFill="0" applyBorder="0" applyAlignment="0" applyProtection="0"/>
    <xf numFmtId="0" fontId="1" fillId="0" borderId="0"/>
    <xf numFmtId="180" fontId="1" fillId="0" borderId="0"/>
    <xf numFmtId="0" fontId="1" fillId="0" borderId="0"/>
    <xf numFmtId="165" fontId="45" fillId="0" borderId="0" applyFont="0" applyFill="0" applyBorder="0" applyAlignment="0" applyProtection="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0" borderId="2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204" fontId="1" fillId="0" borderId="0" applyFont="0" applyFill="0" applyBorder="0" applyAlignment="0" applyProtection="0"/>
    <xf numFmtId="9" fontId="1" fillId="0" borderId="0" applyFont="0" applyFill="0" applyBorder="0" applyAlignment="0" applyProtection="0"/>
    <xf numFmtId="0" fontId="1" fillId="0" borderId="0"/>
  </cellStyleXfs>
  <cellXfs count="332">
    <xf numFmtId="0" fontId="0" fillId="0" borderId="0" xfId="0">
      <alignment vertical="center"/>
    </xf>
    <xf numFmtId="0" fontId="13" fillId="10" borderId="0" xfId="3">
      <alignment horizontal="center" vertical="top" wrapText="1"/>
    </xf>
    <xf numFmtId="0" fontId="6" fillId="0" borderId="0" xfId="25" applyFill="1" applyAlignment="1"/>
    <xf numFmtId="0" fontId="3" fillId="0" borderId="0" xfId="26" applyAlignment="1"/>
    <xf numFmtId="187" fontId="0" fillId="0" borderId="0" xfId="38" applyFont="1">
      <alignment vertical="center"/>
    </xf>
    <xf numFmtId="0" fontId="4" fillId="0" borderId="0" xfId="44">
      <alignment horizontal="left" vertical="center" wrapText="1" indent="1"/>
    </xf>
    <xf numFmtId="0" fontId="7" fillId="0" borderId="0" xfId="43">
      <alignment horizontal="left" vertical="center" wrapText="1"/>
    </xf>
    <xf numFmtId="0" fontId="7" fillId="9" borderId="0" xfId="52" applyNumberFormat="1" applyAlignment="1">
      <alignment horizontal="left" vertical="center" wrapText="1"/>
    </xf>
    <xf numFmtId="0" fontId="7" fillId="0" borderId="4" xfId="45" applyNumberFormat="1" applyAlignment="1">
      <alignment horizontal="left" vertical="center" wrapText="1" indent="1"/>
    </xf>
    <xf numFmtId="0" fontId="6" fillId="0" borderId="0" xfId="25">
      <alignment vertical="center"/>
    </xf>
    <xf numFmtId="166" fontId="4" fillId="0" borderId="2" xfId="35" applyNumberFormat="1">
      <alignment vertical="center"/>
      <protection locked="0"/>
    </xf>
    <xf numFmtId="166" fontId="4" fillId="0" borderId="8" xfId="29" applyNumberFormat="1">
      <alignment vertical="center"/>
    </xf>
    <xf numFmtId="166" fontId="4" fillId="0" borderId="3" xfId="30" applyNumberFormat="1">
      <alignment vertical="center"/>
      <protection locked="0"/>
    </xf>
    <xf numFmtId="166" fontId="4" fillId="4" borderId="0" xfId="32" applyNumberFormat="1">
      <alignment vertical="center"/>
    </xf>
    <xf numFmtId="166" fontId="4" fillId="0" borderId="0" xfId="1" applyNumberFormat="1">
      <alignment vertical="center"/>
    </xf>
    <xf numFmtId="166" fontId="4" fillId="7" borderId="0" xfId="40" applyNumberFormat="1">
      <alignment vertical="center"/>
    </xf>
    <xf numFmtId="166" fontId="4" fillId="11" borderId="0" xfId="28" applyNumberFormat="1">
      <alignment vertical="center"/>
    </xf>
    <xf numFmtId="188" fontId="0" fillId="0" borderId="0" xfId="39" applyFont="1">
      <alignment vertical="center"/>
    </xf>
    <xf numFmtId="171" fontId="0" fillId="0" borderId="0" xfId="7" applyFont="1">
      <alignment vertical="center"/>
    </xf>
    <xf numFmtId="172" fontId="0" fillId="0" borderId="0" xfId="9" applyFont="1">
      <alignment vertical="center"/>
    </xf>
    <xf numFmtId="173" fontId="0" fillId="0" borderId="0" xfId="14" applyFont="1">
      <alignment vertical="center"/>
    </xf>
    <xf numFmtId="174" fontId="0" fillId="0" borderId="0" xfId="15" applyFont="1">
      <alignment vertical="center"/>
    </xf>
    <xf numFmtId="175" fontId="0" fillId="0" borderId="0" xfId="12" applyFont="1">
      <alignment vertical="center"/>
    </xf>
    <xf numFmtId="176" fontId="0" fillId="0" borderId="0" xfId="13" applyFont="1">
      <alignment vertical="center"/>
    </xf>
    <xf numFmtId="170" fontId="0" fillId="0" borderId="0" xfId="22" applyFont="1">
      <alignment vertical="center"/>
    </xf>
    <xf numFmtId="0" fontId="9" fillId="0" borderId="0" xfId="37">
      <alignment vertical="center"/>
    </xf>
    <xf numFmtId="177" fontId="0" fillId="0" borderId="0" xfId="10" applyFont="1">
      <alignment vertical="center"/>
    </xf>
    <xf numFmtId="178" fontId="0" fillId="0" borderId="0" xfId="11" applyFont="1">
      <alignment vertical="center"/>
    </xf>
    <xf numFmtId="179" fontId="0" fillId="0" borderId="0" xfId="20" applyFont="1">
      <alignment vertical="center"/>
    </xf>
    <xf numFmtId="180" fontId="0" fillId="0" borderId="0" xfId="21" applyFont="1">
      <alignment vertical="center"/>
    </xf>
    <xf numFmtId="181" fontId="0" fillId="0" borderId="0" xfId="18" applyFont="1">
      <alignment vertical="center"/>
    </xf>
    <xf numFmtId="182" fontId="0" fillId="0" borderId="0" xfId="19" applyFont="1">
      <alignment vertical="center"/>
    </xf>
    <xf numFmtId="183" fontId="0" fillId="0" borderId="0" xfId="16" applyFont="1">
      <alignment vertical="center"/>
    </xf>
    <xf numFmtId="184" fontId="0" fillId="0" borderId="0" xfId="17" applyFont="1">
      <alignment vertical="center"/>
    </xf>
    <xf numFmtId="186" fontId="0" fillId="0" borderId="0" xfId="24" applyFont="1">
      <alignment vertical="center"/>
    </xf>
    <xf numFmtId="0" fontId="7" fillId="0" borderId="0" xfId="27">
      <alignment vertical="center"/>
    </xf>
    <xf numFmtId="0" fontId="3" fillId="0" borderId="0" xfId="26" applyAlignment="1">
      <alignment vertical="center"/>
    </xf>
    <xf numFmtId="0" fontId="7" fillId="0" borderId="4" xfId="45" applyNumberFormat="1">
      <alignment vertical="center"/>
    </xf>
    <xf numFmtId="0" fontId="7" fillId="9" borderId="0" xfId="52" applyNumberFormat="1">
      <alignment vertical="center"/>
    </xf>
    <xf numFmtId="0" fontId="0" fillId="2" borderId="0" xfId="47" applyFont="1">
      <alignment vertical="center"/>
    </xf>
    <xf numFmtId="0" fontId="0" fillId="0" borderId="5" xfId="46" applyNumberFormat="1" applyFont="1">
      <alignment vertical="center"/>
    </xf>
    <xf numFmtId="166" fontId="12" fillId="0" borderId="0" xfId="36" applyNumberFormat="1">
      <alignment vertical="center"/>
    </xf>
    <xf numFmtId="166" fontId="9" fillId="0" borderId="0" xfId="37" applyNumberFormat="1">
      <alignment vertical="center"/>
    </xf>
    <xf numFmtId="0" fontId="12" fillId="0" borderId="0" xfId="36">
      <alignment vertical="center"/>
    </xf>
    <xf numFmtId="0" fontId="0" fillId="11" borderId="0" xfId="28" applyFont="1">
      <alignment vertical="center"/>
    </xf>
    <xf numFmtId="166" fontId="0" fillId="2" borderId="0" xfId="47" applyNumberFormat="1" applyFont="1">
      <alignment vertical="center"/>
    </xf>
    <xf numFmtId="168" fontId="0" fillId="2" borderId="0" xfId="47" applyNumberFormat="1" applyFont="1">
      <alignment vertical="center"/>
    </xf>
    <xf numFmtId="168" fontId="0" fillId="0" borderId="0" xfId="49" applyNumberFormat="1" applyFont="1">
      <alignment vertical="center"/>
    </xf>
    <xf numFmtId="169" fontId="0" fillId="0" borderId="0" xfId="49" applyNumberFormat="1" applyFont="1">
      <alignment vertical="center"/>
    </xf>
    <xf numFmtId="0" fontId="0" fillId="0" borderId="0" xfId="53" applyFont="1">
      <alignment vertical="center"/>
    </xf>
    <xf numFmtId="166" fontId="4" fillId="0" borderId="0" xfId="53" applyNumberFormat="1">
      <alignment vertical="center"/>
    </xf>
    <xf numFmtId="0" fontId="0" fillId="0" borderId="0" xfId="49" applyNumberFormat="1" applyFont="1">
      <alignment vertical="center"/>
    </xf>
    <xf numFmtId="166" fontId="4" fillId="3" borderId="3" xfId="31">
      <alignment vertical="center"/>
      <protection locked="0"/>
    </xf>
    <xf numFmtId="166" fontId="7" fillId="9" borderId="0" xfId="52">
      <alignment vertical="center"/>
    </xf>
    <xf numFmtId="0" fontId="3" fillId="0" borderId="0" xfId="26" applyAlignment="1">
      <alignment horizontal="center"/>
    </xf>
    <xf numFmtId="49" fontId="0" fillId="0" borderId="0" xfId="50" applyFont="1" applyAlignment="1">
      <alignment horizontal="center" vertical="center"/>
    </xf>
    <xf numFmtId="0" fontId="6" fillId="0" borderId="0" xfId="25" applyFill="1" applyAlignment="1">
      <alignment horizontal="left"/>
    </xf>
    <xf numFmtId="0" fontId="7" fillId="0" borderId="0" xfId="43" applyAlignment="1">
      <alignment horizontal="left" vertical="center" wrapText="1" indent="1"/>
    </xf>
    <xf numFmtId="166" fontId="7" fillId="7" borderId="0" xfId="40" applyNumberFormat="1" applyFont="1">
      <alignment vertical="center"/>
    </xf>
    <xf numFmtId="0" fontId="7" fillId="7" borderId="0" xfId="40" applyFont="1" applyAlignment="1">
      <alignment horizontal="left" vertical="center" wrapText="1"/>
    </xf>
    <xf numFmtId="49" fontId="0" fillId="0" borderId="0" xfId="50" applyFont="1" applyAlignment="1">
      <alignment vertical="center"/>
    </xf>
    <xf numFmtId="167" fontId="10" fillId="0" borderId="0" xfId="2">
      <alignment vertical="center"/>
    </xf>
    <xf numFmtId="0" fontId="13" fillId="8" borderId="0" xfId="4">
      <alignment horizontal="left" vertical="top" wrapText="1"/>
    </xf>
    <xf numFmtId="0" fontId="14" fillId="8" borderId="0" xfId="6">
      <alignment horizontal="center" vertical="top" wrapText="1"/>
    </xf>
    <xf numFmtId="166" fontId="4" fillId="6" borderId="0" xfId="33" applyNumberFormat="1">
      <alignment vertical="center"/>
    </xf>
    <xf numFmtId="166" fontId="7" fillId="0" borderId="0" xfId="51">
      <alignment vertical="center"/>
    </xf>
    <xf numFmtId="0" fontId="13" fillId="8" borderId="0" xfId="5">
      <alignment horizontal="centerContinuous" vertical="top"/>
    </xf>
    <xf numFmtId="185" fontId="0" fillId="0" borderId="0" xfId="23" applyFont="1">
      <alignment vertical="center"/>
    </xf>
    <xf numFmtId="0" fontId="7" fillId="7" borderId="0" xfId="40" applyFont="1">
      <alignment vertical="center"/>
    </xf>
    <xf numFmtId="49" fontId="4" fillId="0" borderId="0" xfId="50" applyFont="1" applyAlignment="1">
      <alignment vertical="center"/>
    </xf>
    <xf numFmtId="0" fontId="0" fillId="0" borderId="0" xfId="0" applyAlignment="1">
      <alignment horizontal="center" vertical="center"/>
    </xf>
    <xf numFmtId="38" fontId="0" fillId="0" borderId="0" xfId="0" applyNumberFormat="1" applyAlignment="1">
      <alignment horizontal="center" vertical="center"/>
    </xf>
    <xf numFmtId="0" fontId="0" fillId="0" borderId="1" xfId="0" applyBorder="1">
      <alignment vertical="center"/>
    </xf>
    <xf numFmtId="0" fontId="4" fillId="5" borderId="0" xfId="34">
      <alignment vertical="center"/>
    </xf>
    <xf numFmtId="0" fontId="7" fillId="11" borderId="0" xfId="28" applyFont="1">
      <alignment vertical="center"/>
    </xf>
    <xf numFmtId="0" fontId="7" fillId="2" borderId="4" xfId="45" applyNumberFormat="1" applyFill="1">
      <alignment vertical="center"/>
    </xf>
    <xf numFmtId="0" fontId="0" fillId="0" borderId="6" xfId="0" applyBorder="1">
      <alignment vertical="center"/>
    </xf>
    <xf numFmtId="0" fontId="8" fillId="0" borderId="0" xfId="56">
      <alignment vertical="center"/>
    </xf>
    <xf numFmtId="0" fontId="5" fillId="0" borderId="0" xfId="57">
      <alignment vertical="center"/>
    </xf>
    <xf numFmtId="0" fontId="8" fillId="0" borderId="0" xfId="56" applyFill="1" applyBorder="1">
      <alignment vertical="center"/>
    </xf>
    <xf numFmtId="0" fontId="8" fillId="0" borderId="0" xfId="56" applyFill="1">
      <alignment vertical="center"/>
    </xf>
    <xf numFmtId="189" fontId="0" fillId="0" borderId="0" xfId="41" applyFont="1" applyAlignment="1">
      <alignment vertical="center"/>
    </xf>
    <xf numFmtId="190" fontId="0" fillId="0" borderId="0" xfId="42" applyFont="1">
      <alignment vertical="center"/>
    </xf>
    <xf numFmtId="166" fontId="4" fillId="0" borderId="7" xfId="30" applyNumberFormat="1" applyBorder="1">
      <alignment vertical="center"/>
      <protection locked="0"/>
    </xf>
    <xf numFmtId="0" fontId="8" fillId="0" borderId="0" xfId="95" applyFill="1">
      <alignment vertical="center"/>
    </xf>
    <xf numFmtId="0" fontId="4" fillId="0" borderId="2" xfId="35">
      <alignment vertical="center"/>
      <protection locked="0"/>
    </xf>
    <xf numFmtId="0" fontId="4" fillId="4" borderId="0" xfId="32">
      <alignment vertical="center"/>
    </xf>
    <xf numFmtId="189" fontId="4" fillId="4" borderId="0" xfId="41" applyFill="1" applyAlignment="1">
      <alignment vertical="center"/>
    </xf>
    <xf numFmtId="189" fontId="4" fillId="4" borderId="0" xfId="32" applyNumberFormat="1" applyAlignment="1">
      <alignment vertical="center"/>
    </xf>
    <xf numFmtId="187" fontId="4" fillId="4" borderId="0" xfId="38" applyFill="1">
      <alignment vertical="center"/>
    </xf>
    <xf numFmtId="0" fontId="4" fillId="0" borderId="0" xfId="100">
      <alignment vertical="center"/>
    </xf>
    <xf numFmtId="0" fontId="7" fillId="0" borderId="0" xfId="0" applyFont="1">
      <alignment vertical="center"/>
    </xf>
    <xf numFmtId="0" fontId="4" fillId="0" borderId="3" xfId="30">
      <alignment vertical="center"/>
      <protection locked="0"/>
    </xf>
    <xf numFmtId="0" fontId="7" fillId="0" borderId="0" xfId="100" applyFont="1">
      <alignment vertical="center"/>
    </xf>
    <xf numFmtId="187" fontId="4" fillId="0" borderId="8" xfId="38" applyBorder="1">
      <alignment vertical="center"/>
    </xf>
    <xf numFmtId="180" fontId="13" fillId="10" borderId="0" xfId="3" applyNumberFormat="1">
      <alignment horizontal="center" vertical="top" wrapText="1"/>
    </xf>
    <xf numFmtId="0" fontId="7" fillId="4" borderId="0" xfId="32" applyFont="1">
      <alignment vertical="center"/>
    </xf>
    <xf numFmtId="0" fontId="4" fillId="0" borderId="0" xfId="100" applyAlignment="1">
      <alignment horizontal="left" vertical="center"/>
    </xf>
    <xf numFmtId="0" fontId="7"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187" fontId="4" fillId="4" borderId="0" xfId="32" applyNumberFormat="1">
      <alignment vertical="center"/>
    </xf>
    <xf numFmtId="187" fontId="4" fillId="0" borderId="8" xfId="29" applyNumberFormat="1">
      <alignment vertical="center"/>
    </xf>
    <xf numFmtId="189" fontId="4" fillId="0" borderId="3" xfId="30" applyNumberFormat="1" applyAlignment="1">
      <alignment vertical="center"/>
      <protection locked="0"/>
    </xf>
    <xf numFmtId="180" fontId="13" fillId="10" borderId="33" xfId="3" applyNumberFormat="1" applyBorder="1" applyAlignment="1">
      <alignment horizontal="center" vertical="center" wrapText="1"/>
    </xf>
    <xf numFmtId="189" fontId="4" fillId="0" borderId="8" xfId="41" applyBorder="1" applyAlignment="1">
      <alignment vertical="center"/>
    </xf>
    <xf numFmtId="187" fontId="4" fillId="7" borderId="8" xfId="40" applyNumberFormat="1" applyBorder="1">
      <alignment vertical="center"/>
    </xf>
    <xf numFmtId="0" fontId="0" fillId="0" borderId="0" xfId="0" applyAlignment="1">
      <alignment horizontal="left" vertical="center"/>
    </xf>
    <xf numFmtId="187" fontId="4" fillId="0" borderId="0" xfId="38" applyBorder="1" applyProtection="1">
      <alignment vertical="center"/>
      <protection locked="0"/>
    </xf>
    <xf numFmtId="180" fontId="13" fillId="10" borderId="0" xfId="3" applyNumberFormat="1" applyAlignment="1">
      <alignment horizontal="center" vertical="center" wrapText="1"/>
    </xf>
    <xf numFmtId="180" fontId="13" fillId="10" borderId="35" xfId="3" applyNumberFormat="1" applyBorder="1" applyAlignment="1">
      <alignment vertical="top" wrapText="1"/>
    </xf>
    <xf numFmtId="187" fontId="4" fillId="0" borderId="0" xfId="38" applyBorder="1" applyAlignment="1" applyProtection="1">
      <alignment vertical="center"/>
      <protection locked="0"/>
    </xf>
    <xf numFmtId="180" fontId="14" fillId="10" borderId="33" xfId="3" applyNumberFormat="1" applyFont="1" applyBorder="1" applyAlignment="1">
      <alignment horizontal="center" vertical="center" wrapText="1"/>
    </xf>
    <xf numFmtId="187" fontId="4" fillId="7" borderId="0" xfId="40" applyNumberFormat="1">
      <alignment vertical="center"/>
    </xf>
    <xf numFmtId="187" fontId="7" fillId="7" borderId="0" xfId="40" applyNumberFormat="1" applyFont="1">
      <alignment vertical="center"/>
    </xf>
    <xf numFmtId="0" fontId="13" fillId="10" borderId="0" xfId="3" applyAlignment="1">
      <alignment horizontal="center" vertical="center" wrapText="1"/>
    </xf>
    <xf numFmtId="0" fontId="4" fillId="4" borderId="0" xfId="32" applyAlignment="1">
      <alignment horizontal="left" vertical="center"/>
    </xf>
    <xf numFmtId="49" fontId="8" fillId="0" borderId="0" xfId="95" applyNumberFormat="1" applyFill="1">
      <alignment vertical="center"/>
    </xf>
    <xf numFmtId="9" fontId="4" fillId="4" borderId="0" xfId="32" applyNumberFormat="1">
      <alignment vertical="center"/>
    </xf>
    <xf numFmtId="0" fontId="13" fillId="10" borderId="0" xfId="3" applyAlignment="1">
      <alignment horizontal="centerContinuous" vertical="top" wrapText="1"/>
    </xf>
    <xf numFmtId="180" fontId="13" fillId="10" borderId="32" xfId="3" applyNumberFormat="1" applyBorder="1" applyAlignment="1">
      <alignment horizontal="centerContinuous" vertical="top" wrapText="1"/>
    </xf>
    <xf numFmtId="180" fontId="13" fillId="10" borderId="33" xfId="3" applyNumberFormat="1" applyBorder="1" applyAlignment="1">
      <alignment horizontal="centerContinuous" vertical="top" wrapText="1"/>
    </xf>
    <xf numFmtId="171" fontId="4" fillId="0" borderId="8" xfId="29" applyNumberFormat="1">
      <alignment vertical="center"/>
    </xf>
    <xf numFmtId="171" fontId="4" fillId="4" borderId="0" xfId="8" applyFill="1">
      <alignment vertical="center"/>
    </xf>
    <xf numFmtId="171" fontId="4" fillId="0" borderId="15" xfId="8" applyBorder="1">
      <alignment vertical="center"/>
    </xf>
    <xf numFmtId="180" fontId="13" fillId="10" borderId="37" xfId="3" applyNumberFormat="1" applyBorder="1" applyAlignment="1">
      <alignment horizontal="centerContinuous" vertical="top" wrapText="1"/>
    </xf>
    <xf numFmtId="180" fontId="13" fillId="10" borderId="0" xfId="3" applyNumberFormat="1" applyAlignment="1">
      <alignment horizontal="centerContinuous" vertical="top" wrapText="1"/>
    </xf>
    <xf numFmtId="0" fontId="13" fillId="10" borderId="37" xfId="3" applyBorder="1" applyAlignment="1">
      <alignment horizontal="centerContinuous" vertical="top" wrapText="1"/>
    </xf>
    <xf numFmtId="0" fontId="7" fillId="0" borderId="0" xfId="0" applyFont="1" applyAlignment="1">
      <alignment horizontal="centerContinuous" vertical="top" wrapText="1"/>
    </xf>
    <xf numFmtId="171" fontId="0" fillId="0" borderId="0" xfId="8" applyFont="1">
      <alignment vertical="center"/>
    </xf>
    <xf numFmtId="171" fontId="0" fillId="70" borderId="0" xfId="8" applyFont="1" applyFill="1">
      <alignment vertical="center"/>
    </xf>
    <xf numFmtId="0" fontId="13" fillId="8" borderId="38" xfId="5" applyBorder="1">
      <alignment horizontal="centerContinuous" vertical="top"/>
    </xf>
    <xf numFmtId="0" fontId="7" fillId="0" borderId="0" xfId="0" applyFont="1" applyAlignment="1">
      <alignment horizontal="left" vertical="top" wrapText="1"/>
    </xf>
    <xf numFmtId="172" fontId="7" fillId="7" borderId="0" xfId="9" applyFont="1" applyFill="1" applyAlignment="1">
      <alignment horizontal="center" vertical="top" wrapText="1"/>
    </xf>
    <xf numFmtId="171" fontId="7" fillId="7" borderId="0" xfId="8" applyFont="1" applyFill="1" applyAlignment="1">
      <alignment horizontal="center" vertical="top" wrapText="1"/>
    </xf>
    <xf numFmtId="171" fontId="4" fillId="0" borderId="3" xfId="30" applyNumberFormat="1">
      <alignment vertical="center"/>
      <protection locked="0"/>
    </xf>
    <xf numFmtId="171" fontId="4" fillId="7" borderId="15" xfId="8" applyFill="1" applyBorder="1">
      <alignment vertical="center"/>
    </xf>
    <xf numFmtId="171" fontId="4" fillId="4" borderId="0" xfId="32" applyNumberFormat="1">
      <alignment vertical="center"/>
    </xf>
    <xf numFmtId="187" fontId="0" fillId="0" borderId="0" xfId="0" applyNumberFormat="1">
      <alignment vertical="center"/>
    </xf>
    <xf numFmtId="0" fontId="0" fillId="71" borderId="0" xfId="0" applyFill="1">
      <alignment vertical="center"/>
    </xf>
    <xf numFmtId="172" fontId="4" fillId="4" borderId="0" xfId="32" applyNumberFormat="1">
      <alignment vertical="center"/>
    </xf>
    <xf numFmtId="171" fontId="0" fillId="11" borderId="0" xfId="8" applyFont="1" applyFill="1">
      <alignment vertical="center"/>
    </xf>
    <xf numFmtId="187" fontId="4" fillId="7" borderId="0" xfId="38" applyFont="1" applyFill="1" applyBorder="1">
      <alignment vertical="center"/>
    </xf>
    <xf numFmtId="9" fontId="75" fillId="71" borderId="0" xfId="642" applyFont="1" applyFill="1" applyAlignment="1">
      <alignment vertical="center"/>
    </xf>
    <xf numFmtId="171" fontId="4" fillId="4" borderId="0" xfId="32" applyNumberFormat="1" applyAlignment="1">
      <alignment vertical="center"/>
    </xf>
    <xf numFmtId="199" fontId="4" fillId="4" borderId="0" xfId="32" applyNumberFormat="1">
      <alignment vertical="center"/>
    </xf>
    <xf numFmtId="223" fontId="7" fillId="7" borderId="0" xfId="40" applyNumberFormat="1" applyFont="1">
      <alignment vertical="center"/>
    </xf>
    <xf numFmtId="188" fontId="4" fillId="7" borderId="8" xfId="40" applyNumberFormat="1" applyBorder="1">
      <alignment vertical="center"/>
    </xf>
    <xf numFmtId="171" fontId="4" fillId="7" borderId="8" xfId="40" applyNumberFormat="1" applyBorder="1">
      <alignment vertical="center"/>
    </xf>
    <xf numFmtId="187" fontId="13" fillId="10" borderId="0" xfId="3" applyNumberFormat="1">
      <alignment horizontal="center" vertical="top" wrapText="1"/>
    </xf>
    <xf numFmtId="225" fontId="7" fillId="7" borderId="0" xfId="40" applyNumberFormat="1" applyFont="1" applyAlignment="1">
      <alignment horizontal="center" vertical="top" wrapText="1"/>
    </xf>
    <xf numFmtId="180" fontId="13" fillId="10" borderId="35" xfId="3" applyNumberFormat="1" applyBorder="1" applyAlignment="1">
      <alignment horizontal="centerContinuous" vertical="top" wrapText="1"/>
    </xf>
    <xf numFmtId="180" fontId="13" fillId="10" borderId="36" xfId="3" applyNumberFormat="1" applyBorder="1" applyAlignment="1">
      <alignment horizontal="centerContinuous" vertical="top" wrapText="1"/>
    </xf>
    <xf numFmtId="187" fontId="12" fillId="0" borderId="0" xfId="36" applyNumberFormat="1">
      <alignment vertical="center"/>
    </xf>
    <xf numFmtId="171" fontId="7" fillId="7" borderId="0" xfId="40" applyNumberFormat="1" applyFont="1">
      <alignment vertical="center"/>
    </xf>
    <xf numFmtId="0" fontId="14" fillId="10" borderId="0" xfId="3" applyFont="1">
      <alignment horizontal="center" vertical="top" wrapText="1"/>
    </xf>
    <xf numFmtId="187" fontId="0" fillId="7" borderId="0" xfId="40" applyNumberFormat="1" applyFont="1">
      <alignment vertical="center"/>
    </xf>
    <xf numFmtId="172" fontId="0" fillId="7" borderId="0" xfId="40" applyNumberFormat="1" applyFont="1">
      <alignment vertical="center"/>
    </xf>
    <xf numFmtId="171" fontId="0" fillId="0" borderId="0" xfId="0" applyNumberFormat="1">
      <alignment vertical="center"/>
    </xf>
    <xf numFmtId="43" fontId="0" fillId="0" borderId="0" xfId="8" applyNumberFormat="1" applyFont="1">
      <alignment vertical="center"/>
    </xf>
    <xf numFmtId="171" fontId="0" fillId="11" borderId="0" xfId="28" applyNumberFormat="1" applyFont="1">
      <alignment vertical="center"/>
    </xf>
    <xf numFmtId="171" fontId="4" fillId="0" borderId="0" xfId="1" applyNumberFormat="1">
      <alignment vertical="center"/>
    </xf>
    <xf numFmtId="171" fontId="4" fillId="11" borderId="0" xfId="28" applyNumberFormat="1">
      <alignment vertical="center"/>
    </xf>
    <xf numFmtId="171" fontId="4" fillId="0" borderId="0" xfId="8" applyFont="1">
      <alignment vertical="center"/>
    </xf>
    <xf numFmtId="43" fontId="7" fillId="7" borderId="0" xfId="40" applyNumberFormat="1" applyFont="1">
      <alignment vertical="center"/>
    </xf>
    <xf numFmtId="180" fontId="13" fillId="8" borderId="0" xfId="5" applyNumberFormat="1">
      <alignment horizontal="centerContinuous" vertical="top"/>
    </xf>
    <xf numFmtId="170" fontId="0" fillId="0" borderId="0" xfId="22" applyFont="1" applyAlignment="1">
      <alignment horizontal="left" vertical="center"/>
    </xf>
    <xf numFmtId="187" fontId="4" fillId="0" borderId="0" xfId="1" applyNumberFormat="1">
      <alignment vertical="center"/>
    </xf>
    <xf numFmtId="171" fontId="4" fillId="7" borderId="8" xfId="8" applyFill="1" applyBorder="1">
      <alignment vertical="center"/>
    </xf>
    <xf numFmtId="189" fontId="4" fillId="0" borderId="0" xfId="1" applyNumberFormat="1" applyAlignment="1">
      <alignment vertical="center"/>
    </xf>
    <xf numFmtId="172" fontId="4" fillId="0" borderId="3" xfId="9" applyBorder="1" applyProtection="1">
      <alignment vertical="center"/>
      <protection locked="0"/>
    </xf>
    <xf numFmtId="166" fontId="13" fillId="10" borderId="0" xfId="3" applyNumberFormat="1">
      <alignment horizontal="center" vertical="top" wrapText="1"/>
    </xf>
    <xf numFmtId="171" fontId="4" fillId="7" borderId="0" xfId="40" applyNumberFormat="1">
      <alignment vertical="center"/>
    </xf>
    <xf numFmtId="0" fontId="7" fillId="0" borderId="0" xfId="27" applyAlignment="1">
      <alignment horizontal="center" vertical="center"/>
    </xf>
    <xf numFmtId="180" fontId="13" fillId="8" borderId="39" xfId="5" applyNumberFormat="1" applyBorder="1">
      <alignment horizontal="centerContinuous" vertical="top"/>
    </xf>
    <xf numFmtId="172" fontId="7" fillId="7" borderId="0" xfId="9" applyFont="1" applyFill="1">
      <alignment vertical="center"/>
    </xf>
    <xf numFmtId="190" fontId="4" fillId="0" borderId="8" xfId="41" applyNumberFormat="1" applyBorder="1" applyAlignment="1">
      <alignment vertical="center"/>
    </xf>
    <xf numFmtId="188" fontId="4" fillId="7" borderId="0" xfId="40" applyNumberFormat="1">
      <alignment vertical="center"/>
    </xf>
    <xf numFmtId="223" fontId="0" fillId="0" borderId="0" xfId="38" applyNumberFormat="1" applyFont="1">
      <alignment vertical="center"/>
    </xf>
    <xf numFmtId="223" fontId="0" fillId="0" borderId="0" xfId="0" applyNumberFormat="1">
      <alignment vertical="center"/>
    </xf>
    <xf numFmtId="223" fontId="4" fillId="7" borderId="0" xfId="40" applyNumberFormat="1">
      <alignment vertical="center"/>
    </xf>
    <xf numFmtId="223" fontId="4" fillId="7" borderId="8" xfId="40" applyNumberFormat="1" applyBorder="1">
      <alignment vertical="center"/>
    </xf>
    <xf numFmtId="226" fontId="4" fillId="0" borderId="8" xfId="41" applyNumberFormat="1" applyBorder="1" applyAlignment="1">
      <alignment vertical="center"/>
    </xf>
    <xf numFmtId="225" fontId="7" fillId="7" borderId="0" xfId="9" applyNumberFormat="1" applyFont="1" applyFill="1" applyAlignment="1">
      <alignment horizontal="center" vertical="top" wrapText="1"/>
    </xf>
    <xf numFmtId="187" fontId="4" fillId="0" borderId="3" xfId="30" applyNumberFormat="1" applyAlignment="1">
      <alignment vertical="center"/>
      <protection locked="0"/>
    </xf>
    <xf numFmtId="0" fontId="4" fillId="0" borderId="0" xfId="1">
      <alignment vertical="center"/>
    </xf>
    <xf numFmtId="190" fontId="4" fillId="0" borderId="8" xfId="42" applyBorder="1" applyAlignment="1">
      <alignment vertical="center"/>
    </xf>
    <xf numFmtId="0" fontId="13" fillId="73" borderId="0" xfId="5" applyFill="1">
      <alignment horizontal="centerContinuous" vertical="top"/>
    </xf>
    <xf numFmtId="0" fontId="13" fillId="74" borderId="0" xfId="5" applyFill="1">
      <alignment horizontal="centerContinuous" vertical="top"/>
    </xf>
    <xf numFmtId="0" fontId="76" fillId="75" borderId="0" xfId="5" applyFont="1" applyFill="1">
      <alignment horizontal="centerContinuous" vertical="top"/>
    </xf>
    <xf numFmtId="0" fontId="32" fillId="76" borderId="0" xfId="5" applyFont="1" applyFill="1">
      <alignment horizontal="centerContinuous" vertical="top"/>
    </xf>
    <xf numFmtId="0" fontId="32" fillId="77" borderId="0" xfId="5" applyFont="1" applyFill="1">
      <alignment horizontal="centerContinuous" vertical="top"/>
    </xf>
    <xf numFmtId="0" fontId="76" fillId="78" borderId="0" xfId="3" applyFont="1" applyFill="1">
      <alignment horizontal="center" vertical="top" wrapText="1"/>
    </xf>
    <xf numFmtId="0" fontId="13" fillId="79" borderId="0" xfId="3" applyFill="1">
      <alignment horizontal="center" vertical="top" wrapText="1"/>
    </xf>
    <xf numFmtId="0" fontId="13" fillId="80" borderId="0" xfId="3" applyFill="1">
      <alignment horizontal="center" vertical="top" wrapText="1"/>
    </xf>
    <xf numFmtId="0" fontId="13" fillId="81" borderId="0" xfId="3" applyFill="1">
      <alignment horizontal="center" vertical="top" wrapText="1"/>
    </xf>
    <xf numFmtId="0" fontId="76" fillId="82" borderId="0" xfId="3" applyFont="1" applyFill="1">
      <alignment horizontal="center" vertical="top" wrapText="1"/>
    </xf>
    <xf numFmtId="0" fontId="7" fillId="82" borderId="0" xfId="3" applyFont="1" applyFill="1">
      <alignment horizontal="center" vertical="top" wrapText="1"/>
    </xf>
    <xf numFmtId="0" fontId="76" fillId="83" borderId="0" xfId="3" applyFont="1" applyFill="1">
      <alignment horizontal="center" vertical="top" wrapText="1"/>
    </xf>
    <xf numFmtId="0" fontId="7" fillId="84" borderId="0" xfId="3" applyFont="1" applyFill="1">
      <alignment horizontal="center" vertical="top" wrapText="1"/>
    </xf>
    <xf numFmtId="0" fontId="32" fillId="85" borderId="0" xfId="3" applyFont="1" applyFill="1">
      <alignment horizontal="center" vertical="top" wrapText="1"/>
    </xf>
    <xf numFmtId="0" fontId="4" fillId="5" borderId="0" xfId="34" applyAlignment="1">
      <alignment horizontal="left" vertical="center" wrapText="1"/>
    </xf>
    <xf numFmtId="0" fontId="0" fillId="0" borderId="0" xfId="54" applyFont="1">
      <alignment vertical="center"/>
    </xf>
    <xf numFmtId="0" fontId="4" fillId="4" borderId="0" xfId="32" applyAlignment="1">
      <alignment horizontal="left" vertical="center" wrapText="1"/>
    </xf>
    <xf numFmtId="180" fontId="9" fillId="0" borderId="0" xfId="37" applyNumberFormat="1" applyAlignment="1">
      <alignment horizontal="center" vertical="top" wrapText="1"/>
    </xf>
    <xf numFmtId="0" fontId="13" fillId="0" borderId="0" xfId="54" applyFont="1" applyAlignment="1">
      <alignment horizontal="center" vertical="top" wrapText="1"/>
    </xf>
    <xf numFmtId="187" fontId="4" fillId="5" borderId="0" xfId="34" applyNumberFormat="1">
      <alignment vertical="center"/>
    </xf>
    <xf numFmtId="0" fontId="7" fillId="72" borderId="0" xfId="43" applyFill="1" applyAlignment="1">
      <alignment horizontal="left" vertical="center"/>
    </xf>
    <xf numFmtId="0" fontId="4" fillId="5" borderId="0" xfId="34" applyAlignment="1">
      <alignment horizontal="left" vertical="center" indent="2"/>
    </xf>
    <xf numFmtId="180" fontId="13" fillId="10" borderId="32" xfId="3" applyNumberFormat="1" applyBorder="1">
      <alignment horizontal="center" vertical="top" wrapText="1"/>
    </xf>
    <xf numFmtId="180" fontId="13" fillId="10" borderId="33" xfId="3" applyNumberFormat="1" applyBorder="1">
      <alignment horizontal="center" vertical="top" wrapText="1"/>
    </xf>
    <xf numFmtId="0" fontId="13" fillId="10" borderId="33" xfId="3" applyBorder="1">
      <alignment horizontal="center" vertical="top" wrapText="1"/>
    </xf>
    <xf numFmtId="0" fontId="13" fillId="10" borderId="34" xfId="3" applyBorder="1">
      <alignment horizontal="center" vertical="top" wrapText="1"/>
    </xf>
    <xf numFmtId="0" fontId="77" fillId="0" borderId="0" xfId="37" applyFont="1">
      <alignment vertical="center"/>
    </xf>
    <xf numFmtId="172" fontId="4" fillId="72" borderId="3" xfId="9" applyFill="1" applyBorder="1" applyAlignment="1" applyProtection="1">
      <alignment vertical="center"/>
      <protection locked="0"/>
    </xf>
    <xf numFmtId="0" fontId="7" fillId="0" borderId="0" xfId="53" applyFont="1">
      <alignment vertical="center"/>
    </xf>
    <xf numFmtId="180" fontId="13" fillId="10" borderId="34" xfId="3" applyNumberFormat="1" applyBorder="1">
      <alignment horizontal="center" vertical="top" wrapText="1"/>
    </xf>
    <xf numFmtId="0" fontId="13" fillId="86" borderId="0" xfId="3" applyFill="1" applyAlignment="1">
      <alignment horizontal="centerContinuous" vertical="top" wrapText="1"/>
    </xf>
    <xf numFmtId="0" fontId="13" fillId="86" borderId="0" xfId="3" applyFill="1">
      <alignment horizontal="center" vertical="top" wrapText="1"/>
    </xf>
    <xf numFmtId="171" fontId="4" fillId="7" borderId="0" xfId="40" applyNumberFormat="1" applyAlignment="1">
      <alignment vertical="center"/>
    </xf>
    <xf numFmtId="0" fontId="0" fillId="72" borderId="0" xfId="0" applyFill="1">
      <alignment vertical="center"/>
    </xf>
    <xf numFmtId="0" fontId="7" fillId="72" borderId="0" xfId="0" applyFont="1" applyFill="1">
      <alignment vertical="center"/>
    </xf>
    <xf numFmtId="172" fontId="4" fillId="7" borderId="8" xfId="9" applyFill="1" applyBorder="1">
      <alignment vertical="center"/>
    </xf>
    <xf numFmtId="227" fontId="4" fillId="5" borderId="0" xfId="34" applyNumberFormat="1">
      <alignment vertical="center"/>
    </xf>
    <xf numFmtId="171" fontId="4" fillId="0" borderId="8" xfId="53" applyNumberFormat="1" applyBorder="1">
      <alignment vertical="center"/>
    </xf>
    <xf numFmtId="187" fontId="4" fillId="0" borderId="8" xfId="53" applyNumberFormat="1" applyBorder="1">
      <alignment vertical="center"/>
    </xf>
    <xf numFmtId="188" fontId="4" fillId="0" borderId="8" xfId="53" applyNumberFormat="1" applyBorder="1">
      <alignment vertical="center"/>
    </xf>
    <xf numFmtId="171" fontId="4" fillId="5" borderId="0" xfId="34" applyNumberFormat="1">
      <alignment vertical="center"/>
    </xf>
    <xf numFmtId="190" fontId="4" fillId="5" borderId="0" xfId="34" applyNumberFormat="1">
      <alignment vertical="center"/>
    </xf>
    <xf numFmtId="224" fontId="4" fillId="0" borderId="8" xfId="29" applyNumberFormat="1">
      <alignment vertical="center"/>
    </xf>
    <xf numFmtId="223" fontId="4" fillId="0" borderId="0" xfId="1" applyNumberFormat="1">
      <alignment vertical="center"/>
    </xf>
    <xf numFmtId="172" fontId="4" fillId="0" borderId="0" xfId="1" applyNumberFormat="1">
      <alignment vertical="center"/>
    </xf>
    <xf numFmtId="172" fontId="4" fillId="0" borderId="0" xfId="9">
      <alignment vertical="center"/>
    </xf>
    <xf numFmtId="199" fontId="7" fillId="7" borderId="0" xfId="8" applyNumberFormat="1" applyFont="1" applyFill="1">
      <alignment vertical="center"/>
    </xf>
    <xf numFmtId="199" fontId="4" fillId="7" borderId="0" xfId="8" applyNumberFormat="1" applyFill="1">
      <alignment vertical="center"/>
    </xf>
    <xf numFmtId="171" fontId="0" fillId="7" borderId="0" xfId="40" applyNumberFormat="1" applyFont="1">
      <alignment vertical="center"/>
    </xf>
    <xf numFmtId="171" fontId="4" fillId="0" borderId="0" xfId="8">
      <alignment vertical="center"/>
    </xf>
    <xf numFmtId="199" fontId="0" fillId="7" borderId="0" xfId="8" applyNumberFormat="1" applyFont="1" applyFill="1">
      <alignment vertical="center"/>
    </xf>
    <xf numFmtId="0" fontId="4" fillId="0" borderId="8" xfId="29">
      <alignment vertical="center"/>
    </xf>
    <xf numFmtId="172" fontId="4" fillId="5" borderId="0" xfId="34" applyNumberFormat="1">
      <alignment vertical="center"/>
    </xf>
    <xf numFmtId="223" fontId="4" fillId="5" borderId="0" xfId="34" applyNumberFormat="1">
      <alignment vertical="center"/>
    </xf>
    <xf numFmtId="188" fontId="4" fillId="5" borderId="0" xfId="34" applyNumberFormat="1">
      <alignment vertical="center"/>
    </xf>
    <xf numFmtId="0" fontId="78" fillId="0" borderId="0" xfId="2" applyNumberFormat="1" applyFont="1">
      <alignment vertical="center"/>
    </xf>
    <xf numFmtId="0" fontId="79" fillId="0" borderId="0" xfId="37" applyFont="1">
      <alignment vertical="center"/>
    </xf>
    <xf numFmtId="49" fontId="0" fillId="0" borderId="0" xfId="50" applyFont="1" applyBorder="1" applyAlignment="1">
      <alignment vertical="center"/>
    </xf>
    <xf numFmtId="38" fontId="0" fillId="0" borderId="40" xfId="0" applyNumberFormat="1" applyBorder="1" applyAlignment="1">
      <alignment horizontal="center" vertical="center"/>
    </xf>
    <xf numFmtId="0" fontId="8" fillId="0" borderId="40" xfId="56" applyFill="1" applyBorder="1">
      <alignment vertical="center"/>
    </xf>
    <xf numFmtId="170" fontId="0" fillId="0" borderId="0" xfId="22" applyFont="1" applyAlignment="1">
      <alignment horizontal="center" vertical="center"/>
    </xf>
    <xf numFmtId="49" fontId="47" fillId="87" borderId="0" xfId="50" applyFont="1" applyFill="1" applyAlignment="1">
      <alignment vertical="center"/>
    </xf>
    <xf numFmtId="49" fontId="47" fillId="88" borderId="0" xfId="50" applyFont="1" applyFill="1" applyAlignment="1">
      <alignment vertical="center"/>
    </xf>
    <xf numFmtId="49" fontId="47" fillId="89" borderId="0" xfId="50" applyFont="1" applyFill="1" applyAlignment="1">
      <alignment vertical="center"/>
    </xf>
    <xf numFmtId="0" fontId="12" fillId="0" borderId="0" xfId="36" applyNumberFormat="1" applyAlignment="1">
      <alignment horizontal="left" vertical="top"/>
    </xf>
    <xf numFmtId="171" fontId="4" fillId="0" borderId="41" xfId="35" applyNumberFormat="1" applyBorder="1" applyProtection="1">
      <alignment vertical="center"/>
    </xf>
    <xf numFmtId="171" fontId="4" fillId="0" borderId="42" xfId="35" applyNumberFormat="1" applyBorder="1" applyProtection="1">
      <alignment vertical="center"/>
    </xf>
    <xf numFmtId="171" fontId="4" fillId="0" borderId="44" xfId="35" applyNumberFormat="1" applyBorder="1" applyProtection="1">
      <alignment vertical="center"/>
    </xf>
    <xf numFmtId="171" fontId="4" fillId="0" borderId="0" xfId="35" applyNumberFormat="1" applyBorder="1" applyProtection="1">
      <alignment vertical="center"/>
    </xf>
    <xf numFmtId="171" fontId="4" fillId="0" borderId="45" xfId="35" applyNumberFormat="1" applyBorder="1" applyProtection="1">
      <alignment vertical="center"/>
    </xf>
    <xf numFmtId="171" fontId="4" fillId="0" borderId="46" xfId="35" applyNumberFormat="1" applyBorder="1" applyProtection="1">
      <alignment vertical="center"/>
    </xf>
    <xf numFmtId="171" fontId="4" fillId="0" borderId="47" xfId="35" applyNumberFormat="1" applyBorder="1" applyProtection="1">
      <alignment vertical="center"/>
    </xf>
    <xf numFmtId="0" fontId="4" fillId="90" borderId="43" xfId="35" applyFill="1" applyBorder="1" applyProtection="1">
      <alignment vertical="center"/>
    </xf>
    <xf numFmtId="0" fontId="4" fillId="90" borderId="0" xfId="35" applyFill="1" applyBorder="1" applyProtection="1">
      <alignment vertical="center"/>
    </xf>
    <xf numFmtId="0" fontId="4" fillId="90" borderId="45" xfId="35" applyFill="1" applyBorder="1" applyProtection="1">
      <alignment vertical="center"/>
    </xf>
    <xf numFmtId="0" fontId="4" fillId="90" borderId="47" xfId="35" applyFill="1" applyBorder="1" applyProtection="1">
      <alignment vertical="center"/>
    </xf>
    <xf numFmtId="0" fontId="4" fillId="90" borderId="48" xfId="35" applyFill="1" applyBorder="1" applyProtection="1">
      <alignment vertical="center"/>
    </xf>
    <xf numFmtId="0" fontId="4" fillId="0" borderId="3" xfId="30" applyAlignment="1">
      <alignment horizontal="left" vertical="center"/>
      <protection locked="0"/>
    </xf>
    <xf numFmtId="43" fontId="0" fillId="0" borderId="0" xfId="0" applyNumberFormat="1">
      <alignment vertical="center"/>
    </xf>
    <xf numFmtId="172" fontId="4" fillId="0" borderId="8" xfId="29" applyNumberFormat="1">
      <alignment vertical="center"/>
    </xf>
    <xf numFmtId="172" fontId="4" fillId="5" borderId="0" xfId="9" applyFill="1">
      <alignment vertical="center"/>
    </xf>
    <xf numFmtId="225" fontId="0" fillId="0" borderId="0" xfId="9" applyNumberFormat="1" applyFont="1">
      <alignment vertical="center"/>
    </xf>
    <xf numFmtId="171" fontId="0" fillId="0" borderId="0" xfId="53" applyNumberFormat="1" applyFont="1">
      <alignment vertical="center"/>
    </xf>
    <xf numFmtId="0" fontId="4" fillId="90" borderId="42" xfId="35" applyFill="1" applyBorder="1" applyProtection="1">
      <alignment vertical="center"/>
    </xf>
    <xf numFmtId="0" fontId="77" fillId="0" borderId="0" xfId="37" quotePrefix="1" applyFont="1">
      <alignment vertical="center"/>
    </xf>
    <xf numFmtId="180" fontId="4" fillId="0" borderId="3" xfId="30" applyNumberFormat="1" applyAlignment="1">
      <alignment horizontal="center" vertical="top" wrapText="1"/>
      <protection locked="0"/>
    </xf>
    <xf numFmtId="180" fontId="4" fillId="0" borderId="3" xfId="30" applyNumberFormat="1" applyAlignment="1">
      <alignment horizontal="left" vertical="top"/>
      <protection locked="0"/>
    </xf>
    <xf numFmtId="14" fontId="4" fillId="0" borderId="3" xfId="30" applyNumberFormat="1">
      <alignment vertical="center"/>
      <protection locked="0"/>
    </xf>
    <xf numFmtId="0" fontId="4" fillId="0" borderId="3" xfId="30" applyAlignment="1">
      <alignment horizontal="left" vertical="center" wrapText="1" indent="1"/>
      <protection locked="0"/>
    </xf>
    <xf numFmtId="172" fontId="4" fillId="0" borderId="3" xfId="9" applyBorder="1" applyAlignment="1" applyProtection="1">
      <alignment horizontal="left" vertical="top" wrapText="1" indent="1"/>
      <protection locked="0"/>
    </xf>
    <xf numFmtId="171" fontId="4" fillId="5" borderId="0" xfId="8" applyFill="1">
      <alignment vertical="center"/>
    </xf>
    <xf numFmtId="190" fontId="4" fillId="0" borderId="8" xfId="29" applyNumberFormat="1">
      <alignment vertical="center"/>
    </xf>
    <xf numFmtId="43" fontId="4" fillId="7" borderId="0" xfId="40" applyNumberFormat="1">
      <alignment vertical="center"/>
    </xf>
    <xf numFmtId="190" fontId="78" fillId="0" borderId="0" xfId="2" applyNumberFormat="1" applyFont="1" applyAlignment="1">
      <alignment vertical="center"/>
    </xf>
    <xf numFmtId="190" fontId="0" fillId="7" borderId="0" xfId="40" applyNumberFormat="1" applyFont="1">
      <alignment vertical="center"/>
    </xf>
    <xf numFmtId="172" fontId="4" fillId="11" borderId="0" xfId="28" applyNumberFormat="1">
      <alignment vertical="center"/>
    </xf>
    <xf numFmtId="14" fontId="4" fillId="0" borderId="2" xfId="35" applyNumberFormat="1">
      <alignment vertical="center"/>
      <protection locked="0"/>
    </xf>
    <xf numFmtId="0" fontId="10" fillId="0" borderId="0" xfId="2" applyNumberFormat="1" applyAlignment="1">
      <alignment horizontal="center" vertical="top" wrapText="1"/>
    </xf>
    <xf numFmtId="0" fontId="4" fillId="0" borderId="8" xfId="29" applyNumberFormat="1">
      <alignment vertical="center"/>
    </xf>
    <xf numFmtId="0" fontId="4" fillId="0" borderId="0" xfId="1" applyNumberFormat="1">
      <alignment vertical="center"/>
    </xf>
    <xf numFmtId="14" fontId="4" fillId="0" borderId="2" xfId="35" applyNumberFormat="1" applyProtection="1">
      <alignment vertical="center"/>
    </xf>
    <xf numFmtId="190" fontId="78" fillId="0" borderId="0" xfId="2" applyNumberFormat="1" applyFont="1">
      <alignment vertical="center"/>
    </xf>
    <xf numFmtId="0" fontId="47" fillId="91" borderId="0" xfId="30" applyFont="1" applyFill="1" applyBorder="1">
      <alignment vertical="center"/>
      <protection locked="0"/>
    </xf>
    <xf numFmtId="11" fontId="0" fillId="0" borderId="0" xfId="0" applyNumberFormat="1">
      <alignment vertical="center"/>
    </xf>
    <xf numFmtId="189" fontId="4" fillId="0" borderId="2" xfId="41" applyBorder="1" applyAlignment="1" applyProtection="1">
      <alignment vertical="center"/>
      <protection locked="0"/>
    </xf>
    <xf numFmtId="228" fontId="0" fillId="0" borderId="0" xfId="42" applyNumberFormat="1" applyFont="1">
      <alignment vertical="center"/>
    </xf>
    <xf numFmtId="49" fontId="0" fillId="0" borderId="0" xfId="50" applyFont="1">
      <alignment horizontal="center" vertical="center"/>
    </xf>
    <xf numFmtId="172" fontId="4" fillId="0" borderId="3" xfId="53" applyNumberFormat="1" applyBorder="1" applyAlignment="1" applyProtection="1">
      <alignment horizontal="left" vertical="top" wrapText="1" indent="1"/>
      <protection locked="0"/>
    </xf>
    <xf numFmtId="190" fontId="4" fillId="4" borderId="0" xfId="32" applyNumberFormat="1" applyAlignment="1">
      <alignment vertical="center"/>
    </xf>
    <xf numFmtId="190" fontId="4" fillId="7" borderId="0" xfId="40" applyNumberFormat="1" applyAlignment="1">
      <alignment vertical="center"/>
    </xf>
    <xf numFmtId="0" fontId="81" fillId="0" borderId="0" xfId="37" applyFont="1">
      <alignment vertical="center"/>
    </xf>
    <xf numFmtId="0" fontId="7" fillId="11" borderId="0" xfId="28" applyFont="1" applyAlignment="1">
      <alignment horizontal="center" vertical="top" wrapText="1"/>
    </xf>
    <xf numFmtId="172" fontId="4" fillId="7" borderId="0" xfId="9" applyFill="1">
      <alignment vertical="center"/>
    </xf>
    <xf numFmtId="190" fontId="4" fillId="0" borderId="0" xfId="53" applyNumberFormat="1" applyAlignment="1">
      <alignment vertical="center"/>
    </xf>
    <xf numFmtId="14" fontId="4" fillId="0" borderId="3" xfId="53" applyNumberFormat="1" applyBorder="1" applyProtection="1">
      <alignment vertical="center"/>
      <protection locked="0"/>
    </xf>
    <xf numFmtId="0" fontId="7" fillId="0" borderId="2" xfId="35" applyFont="1" applyAlignment="1">
      <alignment vertical="center" wrapText="1"/>
      <protection locked="0"/>
    </xf>
    <xf numFmtId="190" fontId="4" fillId="7" borderId="0" xfId="41" applyNumberFormat="1" applyFill="1" applyAlignment="1">
      <alignment vertical="center"/>
    </xf>
    <xf numFmtId="190" fontId="4" fillId="4" borderId="0" xfId="32" applyNumberFormat="1">
      <alignment vertical="center"/>
    </xf>
    <xf numFmtId="222" fontId="4" fillId="4" borderId="0" xfId="38" applyNumberFormat="1" applyFill="1">
      <alignment vertical="center"/>
    </xf>
    <xf numFmtId="172" fontId="7" fillId="7" borderId="0" xfId="40" applyNumberFormat="1" applyFont="1">
      <alignment vertical="center"/>
    </xf>
    <xf numFmtId="228" fontId="4" fillId="0" borderId="8" xfId="41" applyNumberFormat="1" applyBorder="1" applyAlignment="1">
      <alignment vertical="center"/>
    </xf>
    <xf numFmtId="229" fontId="4" fillId="5" borderId="0" xfId="34" applyNumberFormat="1">
      <alignment vertical="center"/>
    </xf>
    <xf numFmtId="226" fontId="0" fillId="0" borderId="0" xfId="0" applyNumberFormat="1">
      <alignment vertical="center"/>
    </xf>
    <xf numFmtId="0" fontId="47" fillId="91" borderId="2" xfId="35" applyFont="1" applyFill="1">
      <alignment vertical="center"/>
      <protection locked="0"/>
    </xf>
    <xf numFmtId="189" fontId="47" fillId="91" borderId="2" xfId="41" applyFont="1" applyFill="1" applyBorder="1" applyAlignment="1" applyProtection="1">
      <alignment vertical="center"/>
    </xf>
    <xf numFmtId="189" fontId="47" fillId="91" borderId="2" xfId="41" applyFont="1" applyFill="1" applyBorder="1" applyAlignment="1" applyProtection="1">
      <alignment vertical="center"/>
      <protection locked="0"/>
    </xf>
    <xf numFmtId="0" fontId="47" fillId="91" borderId="3" xfId="30" applyFont="1" applyFill="1">
      <alignment vertical="center"/>
      <protection locked="0"/>
    </xf>
    <xf numFmtId="189" fontId="47" fillId="91" borderId="3" xfId="30" applyNumberFormat="1" applyFont="1" applyFill="1" applyAlignment="1">
      <alignment vertical="center"/>
      <protection locked="0"/>
    </xf>
    <xf numFmtId="0" fontId="14" fillId="91" borderId="2" xfId="35" applyFont="1" applyFill="1">
      <alignment vertical="center"/>
      <protection locked="0"/>
    </xf>
    <xf numFmtId="171" fontId="47" fillId="91" borderId="3" xfId="30" applyNumberFormat="1" applyFont="1" applyFill="1">
      <alignment vertical="center"/>
      <protection locked="0"/>
    </xf>
    <xf numFmtId="171" fontId="47" fillId="91" borderId="3" xfId="30" applyNumberFormat="1" applyFont="1" applyFill="1" applyAlignment="1">
      <alignment horizontal="center" vertical="top" wrapText="1"/>
      <protection locked="0"/>
    </xf>
    <xf numFmtId="190" fontId="47" fillId="91" borderId="3" xfId="30" applyNumberFormat="1" applyFont="1" applyFill="1">
      <alignment vertical="center"/>
      <protection locked="0"/>
    </xf>
    <xf numFmtId="187" fontId="4" fillId="91" borderId="3" xfId="30" applyNumberFormat="1" applyFill="1">
      <alignment vertical="center"/>
      <protection locked="0"/>
    </xf>
    <xf numFmtId="188" fontId="4" fillId="91" borderId="3" xfId="30" applyNumberFormat="1" applyFill="1">
      <alignment vertical="center"/>
      <protection locked="0"/>
    </xf>
    <xf numFmtId="222" fontId="4" fillId="91" borderId="3" xfId="30" applyNumberFormat="1" applyFill="1">
      <alignment vertical="center"/>
      <protection locked="0"/>
    </xf>
    <xf numFmtId="222" fontId="4" fillId="91" borderId="3" xfId="28" applyNumberFormat="1" applyFill="1" applyBorder="1" applyProtection="1">
      <alignment vertical="center"/>
      <protection locked="0"/>
    </xf>
    <xf numFmtId="187" fontId="4" fillId="91" borderId="3" xfId="30" applyNumberFormat="1" applyFill="1" applyAlignment="1">
      <alignment vertical="center"/>
      <protection locked="0"/>
    </xf>
    <xf numFmtId="225" fontId="4" fillId="91" borderId="3" xfId="30" applyNumberFormat="1" applyFill="1" applyAlignment="1">
      <alignment vertical="center"/>
      <protection locked="0"/>
    </xf>
    <xf numFmtId="172" fontId="4" fillId="91" borderId="3" xfId="30" applyNumberFormat="1" applyFill="1" applyAlignment="1">
      <alignment vertical="center"/>
      <protection locked="0"/>
    </xf>
    <xf numFmtId="225" fontId="47" fillId="91" borderId="3" xfId="30" applyNumberFormat="1" applyFont="1" applyFill="1" applyAlignment="1">
      <alignment vertical="center"/>
      <protection locked="0"/>
    </xf>
    <xf numFmtId="190" fontId="4" fillId="91" borderId="3" xfId="30" applyNumberFormat="1" applyFill="1" applyAlignment="1">
      <alignment vertical="center"/>
      <protection locked="0"/>
    </xf>
    <xf numFmtId="187" fontId="4" fillId="91" borderId="3" xfId="53" applyNumberFormat="1" applyFill="1" applyBorder="1" applyProtection="1">
      <alignment vertical="center"/>
      <protection locked="0"/>
    </xf>
    <xf numFmtId="189" fontId="4" fillId="92" borderId="3" xfId="41" applyFill="1" applyBorder="1" applyAlignment="1" applyProtection="1">
      <alignment vertical="center"/>
      <protection locked="0"/>
    </xf>
    <xf numFmtId="189" fontId="4" fillId="5" borderId="0" xfId="34" applyNumberFormat="1" applyAlignment="1">
      <alignment vertical="center"/>
    </xf>
    <xf numFmtId="190" fontId="4" fillId="93" borderId="3" xfId="42" applyFill="1" applyBorder="1" applyAlignment="1" applyProtection="1">
      <alignment vertical="center"/>
      <protection locked="0"/>
    </xf>
  </cellXfs>
  <cellStyles count="754">
    <cellStyle name="%" xfId="154" xr:uid="{00000000-0005-0000-0000-000000000000}"/>
    <cellStyle name="_%(SignOnly)" xfId="467" xr:uid="{00000000-0005-0000-0000-000001000000}"/>
    <cellStyle name="_%(SignSpaceOnly)" xfId="468" xr:uid="{00000000-0005-0000-0000-000002000000}"/>
    <cellStyle name="_09 Grunnlagsfil ekstern omsetning" xfId="155" xr:uid="{00000000-0005-0000-0000-000003000000}"/>
    <cellStyle name="_Comma" xfId="469" xr:uid="{00000000-0005-0000-0000-000004000000}"/>
    <cellStyle name="_Currency" xfId="470" xr:uid="{00000000-0005-0000-0000-000005000000}"/>
    <cellStyle name="_CurrencySpace" xfId="471" xr:uid="{00000000-0005-0000-0000-000006000000}"/>
    <cellStyle name="_Euro" xfId="472" xr:uid="{00000000-0005-0000-0000-000007000000}"/>
    <cellStyle name="_Heading" xfId="473" xr:uid="{00000000-0005-0000-0000-000008000000}"/>
    <cellStyle name="_Highlight" xfId="474" xr:uid="{00000000-0005-0000-0000-000009000000}"/>
    <cellStyle name="_Multiple" xfId="475" xr:uid="{00000000-0005-0000-0000-00000A000000}"/>
    <cellStyle name="_MultipleSpace" xfId="476" xr:uid="{00000000-0005-0000-0000-00000B000000}"/>
    <cellStyle name="_SubHeading" xfId="477" xr:uid="{00000000-0005-0000-0000-00000C000000}"/>
    <cellStyle name="_Table" xfId="478" xr:uid="{00000000-0005-0000-0000-00000D000000}"/>
    <cellStyle name="_TableHead" xfId="479" xr:uid="{00000000-0005-0000-0000-00000E000000}"/>
    <cellStyle name="_TableRowHead" xfId="480" xr:uid="{00000000-0005-0000-0000-00000F000000}"/>
    <cellStyle name="_TableSuperHead" xfId="481" xr:uid="{00000000-0005-0000-0000-000010000000}"/>
    <cellStyle name="=C:\WINNT35\SYSTEM32\COMMAND.COM" xfId="482" xr:uid="{00000000-0005-0000-0000-000011000000}"/>
    <cellStyle name="20 % – uthevingsfarge 1" xfId="72" builtinId="30" customBuiltin="1"/>
    <cellStyle name="20 % - uthevingsfarge 1 2" xfId="643" xr:uid="{00000000-0005-0000-0000-000013000000}"/>
    <cellStyle name="20 % – uthevingsfarge 2" xfId="76" builtinId="34" customBuiltin="1"/>
    <cellStyle name="20 % - uthevingsfarge 2 2" xfId="645" xr:uid="{00000000-0005-0000-0000-000015000000}"/>
    <cellStyle name="20 % – uthevingsfarge 3" xfId="80" builtinId="38" customBuiltin="1"/>
    <cellStyle name="20 % - uthevingsfarge 3 2" xfId="647" xr:uid="{00000000-0005-0000-0000-000017000000}"/>
    <cellStyle name="20 % – uthevingsfarge 4" xfId="84" builtinId="42" customBuiltin="1"/>
    <cellStyle name="20 % - uthevingsfarge 4 2" xfId="649" xr:uid="{00000000-0005-0000-0000-000019000000}"/>
    <cellStyle name="20 % – uthevingsfarge 5" xfId="88" builtinId="46" customBuiltin="1"/>
    <cellStyle name="20 % - uthevingsfarge 5 2" xfId="651" xr:uid="{00000000-0005-0000-0000-00001B000000}"/>
    <cellStyle name="20 % – uthevingsfarge 6" xfId="92" builtinId="50" customBuiltin="1"/>
    <cellStyle name="20 % - uthevingsfarge 6 2" xfId="653" xr:uid="{00000000-0005-0000-0000-00001D000000}"/>
    <cellStyle name="40 % – uthevingsfarge 1" xfId="73" builtinId="31" customBuiltin="1"/>
    <cellStyle name="40 % - uthevingsfarge 1 2" xfId="644" xr:uid="{00000000-0005-0000-0000-00001F000000}"/>
    <cellStyle name="40 % – uthevingsfarge 2" xfId="77" builtinId="35" customBuiltin="1"/>
    <cellStyle name="40 % - uthevingsfarge 2 2" xfId="646" xr:uid="{00000000-0005-0000-0000-000021000000}"/>
    <cellStyle name="40 % – uthevingsfarge 3" xfId="81" builtinId="39" customBuiltin="1"/>
    <cellStyle name="40 % - uthevingsfarge 3 2" xfId="648" xr:uid="{00000000-0005-0000-0000-000023000000}"/>
    <cellStyle name="40 % – uthevingsfarge 4" xfId="85" builtinId="43" customBuiltin="1"/>
    <cellStyle name="40 % - uthevingsfarge 4 2" xfId="650" xr:uid="{00000000-0005-0000-0000-000025000000}"/>
    <cellStyle name="40 % – uthevingsfarge 5" xfId="89" builtinId="47" customBuiltin="1"/>
    <cellStyle name="40 % - uthevingsfarge 5 2" xfId="652" xr:uid="{00000000-0005-0000-0000-000027000000}"/>
    <cellStyle name="40 % – uthevingsfarge 6" xfId="93" builtinId="51" customBuiltin="1"/>
    <cellStyle name="40 % - uthevingsfarge 6 2" xfId="654" xr:uid="{00000000-0005-0000-0000-000029000000}"/>
    <cellStyle name="60 % – uthevingsfarge 1" xfId="74" builtinId="32" customBuiltin="1"/>
    <cellStyle name="60 % – uthevingsfarge 2" xfId="78" builtinId="36" customBuiltin="1"/>
    <cellStyle name="60 % – uthevingsfarge 3" xfId="82" builtinId="40" customBuiltin="1"/>
    <cellStyle name="60 % – uthevingsfarge 4" xfId="86" builtinId="44" customBuiltin="1"/>
    <cellStyle name="60 % – uthevingsfarge 5" xfId="90" builtinId="48" customBuiltin="1"/>
    <cellStyle name="60 % – uthevingsfarge 6" xfId="94" builtinId="52" customBuiltin="1"/>
    <cellStyle name="7Mini" xfId="156" xr:uid="{00000000-0005-0000-0000-000030000000}"/>
    <cellStyle name="Beregning" xfId="1" builtinId="22" customBuiltin="1"/>
    <cellStyle name="Calculation 2" xfId="140" xr:uid="{00000000-0005-0000-0000-000032000000}"/>
    <cellStyle name="Calculation 2 2" xfId="447" xr:uid="{00000000-0005-0000-0000-000033000000}"/>
    <cellStyle name="Checksum" xfId="2" xr:uid="{00000000-0005-0000-0000-000034000000}"/>
    <cellStyle name="Checksum 2" xfId="102" xr:uid="{00000000-0005-0000-0000-000035000000}"/>
    <cellStyle name="Column label" xfId="3" xr:uid="{00000000-0005-0000-0000-000036000000}"/>
    <cellStyle name="Column label (left aligned)" xfId="4" xr:uid="{00000000-0005-0000-0000-000037000000}"/>
    <cellStyle name="Column label (left aligned) 2" xfId="104" xr:uid="{00000000-0005-0000-0000-000038000000}"/>
    <cellStyle name="Column label (left aligned) 2 2" xfId="421" xr:uid="{00000000-0005-0000-0000-000039000000}"/>
    <cellStyle name="Column label (left aligned) 3" xfId="378" xr:uid="{00000000-0005-0000-0000-00003A000000}"/>
    <cellStyle name="Column label (no wrap)" xfId="5" xr:uid="{00000000-0005-0000-0000-00003B000000}"/>
    <cellStyle name="Column label (no wrap) 2" xfId="105" xr:uid="{00000000-0005-0000-0000-00003C000000}"/>
    <cellStyle name="Column label (no wrap) 2 2" xfId="422" xr:uid="{00000000-0005-0000-0000-00003D000000}"/>
    <cellStyle name="Column label (no wrap) 3" xfId="379" xr:uid="{00000000-0005-0000-0000-00003E000000}"/>
    <cellStyle name="Column label (not bold)" xfId="6" xr:uid="{00000000-0005-0000-0000-00003F000000}"/>
    <cellStyle name="Column label (not bold) 2" xfId="106" xr:uid="{00000000-0005-0000-0000-000040000000}"/>
    <cellStyle name="Column label (not bold) 2 2" xfId="423" xr:uid="{00000000-0005-0000-0000-000041000000}"/>
    <cellStyle name="Column label (not bold) 3" xfId="380" xr:uid="{00000000-0005-0000-0000-000042000000}"/>
    <cellStyle name="Column label 10" xfId="435" xr:uid="{00000000-0005-0000-0000-000043000000}"/>
    <cellStyle name="Column label 11" xfId="426" xr:uid="{00000000-0005-0000-0000-000044000000}"/>
    <cellStyle name="Column label 12" xfId="567" xr:uid="{00000000-0005-0000-0000-000045000000}"/>
    <cellStyle name="Column label 13" xfId="437" xr:uid="{00000000-0005-0000-0000-000046000000}"/>
    <cellStyle name="Column label 14" xfId="576" xr:uid="{00000000-0005-0000-0000-000047000000}"/>
    <cellStyle name="Column label 15" xfId="580" xr:uid="{00000000-0005-0000-0000-000048000000}"/>
    <cellStyle name="Column label 16" xfId="441" xr:uid="{00000000-0005-0000-0000-000049000000}"/>
    <cellStyle name="Column label 17" xfId="558" xr:uid="{00000000-0005-0000-0000-00004A000000}"/>
    <cellStyle name="Column label 18" xfId="585" xr:uid="{00000000-0005-0000-0000-00004B000000}"/>
    <cellStyle name="Column label 19" xfId="377" xr:uid="{00000000-0005-0000-0000-00004C000000}"/>
    <cellStyle name="Column label 2" xfId="103" xr:uid="{00000000-0005-0000-0000-00004D000000}"/>
    <cellStyle name="Column label 2 2" xfId="575" xr:uid="{00000000-0005-0000-0000-00004E000000}"/>
    <cellStyle name="Column label 2 3" xfId="420" xr:uid="{00000000-0005-0000-0000-00004F000000}"/>
    <cellStyle name="Column label 20" xfId="382" xr:uid="{00000000-0005-0000-0000-000050000000}"/>
    <cellStyle name="Column label 21" xfId="638" xr:uid="{00000000-0005-0000-0000-000051000000}"/>
    <cellStyle name="Column label 3" xfId="439" xr:uid="{00000000-0005-0000-0000-000052000000}"/>
    <cellStyle name="Column label 4" xfId="424" xr:uid="{00000000-0005-0000-0000-000053000000}"/>
    <cellStyle name="Column label 5" xfId="427" xr:uid="{00000000-0005-0000-0000-000054000000}"/>
    <cellStyle name="Column label 6" xfId="568" xr:uid="{00000000-0005-0000-0000-000055000000}"/>
    <cellStyle name="Column label 7" xfId="444" xr:uid="{00000000-0005-0000-0000-000056000000}"/>
    <cellStyle name="Column label 8" xfId="560" xr:uid="{00000000-0005-0000-0000-000057000000}"/>
    <cellStyle name="Column label 9" xfId="565" xr:uid="{00000000-0005-0000-0000-000058000000}"/>
    <cellStyle name="Comma 2" xfId="97" xr:uid="{00000000-0005-0000-0000-000059000000}"/>
    <cellStyle name="Comma 2 2" xfId="461" xr:uid="{00000000-0005-0000-0000-00005A000000}"/>
    <cellStyle name="Comma 2 3" xfId="656" xr:uid="{00000000-0005-0000-0000-00005B000000}"/>
    <cellStyle name="Comma 3" xfId="590" xr:uid="{00000000-0005-0000-0000-00005C000000}"/>
    <cellStyle name="Comma0 - Modelo1" xfId="157" xr:uid="{00000000-0005-0000-0000-00005D000000}"/>
    <cellStyle name="Comma0 - Style1" xfId="158" xr:uid="{00000000-0005-0000-0000-00005E000000}"/>
    <cellStyle name="Comma1 - Modelo2" xfId="159" xr:uid="{00000000-0005-0000-0000-00005F000000}"/>
    <cellStyle name="Comma1 - Style2" xfId="160" xr:uid="{00000000-0005-0000-0000-000060000000}"/>
    <cellStyle name="Currency (0dp)" xfId="8" xr:uid="{00000000-0005-0000-0000-000061000000}"/>
    <cellStyle name="Currency (0dp) 2" xfId="146" xr:uid="{00000000-0005-0000-0000-000062000000}"/>
    <cellStyle name="Currency (2dp)" xfId="9" xr:uid="{00000000-0005-0000-0000-000063000000}"/>
    <cellStyle name="Currency (2dp) 2" xfId="425" xr:uid="{00000000-0005-0000-0000-000064000000}"/>
    <cellStyle name="Currency 2" xfId="143" xr:uid="{00000000-0005-0000-0000-000065000000}"/>
    <cellStyle name="Currency Dollar" xfId="10" xr:uid="{00000000-0005-0000-0000-000066000000}"/>
    <cellStyle name="Currency Dollar (2dp)" xfId="11" xr:uid="{00000000-0005-0000-0000-000067000000}"/>
    <cellStyle name="Currency EUR" xfId="12" xr:uid="{00000000-0005-0000-0000-000068000000}"/>
    <cellStyle name="Currency EUR (2dp)" xfId="13" xr:uid="{00000000-0005-0000-0000-000069000000}"/>
    <cellStyle name="Currency EUR (2dp) 2" xfId="108" xr:uid="{00000000-0005-0000-0000-00006A000000}"/>
    <cellStyle name="Currency EUR 2" xfId="107" xr:uid="{00000000-0005-0000-0000-00006B000000}"/>
    <cellStyle name="Currency Euro" xfId="14" xr:uid="{00000000-0005-0000-0000-00006C000000}"/>
    <cellStyle name="Currency Euro (2dp)" xfId="15" xr:uid="{00000000-0005-0000-0000-00006D000000}"/>
    <cellStyle name="Currency GBP" xfId="16" xr:uid="{00000000-0005-0000-0000-00006E000000}"/>
    <cellStyle name="Currency GBP (2dp)" xfId="17" xr:uid="{00000000-0005-0000-0000-00006F000000}"/>
    <cellStyle name="Currency GBP (2dp) 2" xfId="110" xr:uid="{00000000-0005-0000-0000-000070000000}"/>
    <cellStyle name="Currency GBP 2" xfId="109" xr:uid="{00000000-0005-0000-0000-000071000000}"/>
    <cellStyle name="Currency Pound" xfId="18" xr:uid="{00000000-0005-0000-0000-000072000000}"/>
    <cellStyle name="Currency Pound (2dp)" xfId="19" xr:uid="{00000000-0005-0000-0000-000073000000}"/>
    <cellStyle name="Currency USD" xfId="20" xr:uid="{00000000-0005-0000-0000-000074000000}"/>
    <cellStyle name="Currency USD (2dp)" xfId="21" xr:uid="{00000000-0005-0000-0000-000075000000}"/>
    <cellStyle name="Currency USD 2" xfId="112" xr:uid="{00000000-0005-0000-0000-000076000000}"/>
    <cellStyle name="Date" xfId="22" xr:uid="{00000000-0005-0000-0000-000077000000}"/>
    <cellStyle name="Date (Month)" xfId="23" xr:uid="{00000000-0005-0000-0000-000078000000}"/>
    <cellStyle name="Date (Year)" xfId="24" xr:uid="{00000000-0005-0000-0000-000079000000}"/>
    <cellStyle name="dato" xfId="161" xr:uid="{00000000-0005-0000-0000-00007A000000}"/>
    <cellStyle name="Dia" xfId="162" xr:uid="{00000000-0005-0000-0000-00007B000000}"/>
    <cellStyle name="Dårlig" xfId="64" builtinId="27" customBuiltin="1"/>
    <cellStyle name="En tête 1" xfId="483" xr:uid="{00000000-0005-0000-0000-00007D000000}"/>
    <cellStyle name="En tête 2" xfId="484" xr:uid="{00000000-0005-0000-0000-00007E000000}"/>
    <cellStyle name="En tête 3" xfId="485" xr:uid="{00000000-0005-0000-0000-00007F000000}"/>
    <cellStyle name="Encabez1" xfId="163" xr:uid="{00000000-0005-0000-0000-000080000000}"/>
    <cellStyle name="Encabez2" xfId="164" xr:uid="{00000000-0005-0000-0000-000081000000}"/>
    <cellStyle name="En-têt - Style3" xfId="486" xr:uid="{00000000-0005-0000-0000-000082000000}"/>
    <cellStyle name="En-tête 1" xfId="487" xr:uid="{00000000-0005-0000-0000-000083000000}"/>
    <cellStyle name="Euro" xfId="452" xr:uid="{00000000-0005-0000-0000-000084000000}"/>
    <cellStyle name="Explanatory Text 2" xfId="145" xr:uid="{00000000-0005-0000-0000-000085000000}"/>
    <cellStyle name="F2" xfId="165" xr:uid="{00000000-0005-0000-0000-000086000000}"/>
    <cellStyle name="F3" xfId="166" xr:uid="{00000000-0005-0000-0000-000087000000}"/>
    <cellStyle name="F4" xfId="167" xr:uid="{00000000-0005-0000-0000-000088000000}"/>
    <cellStyle name="F5" xfId="168" xr:uid="{00000000-0005-0000-0000-000089000000}"/>
    <cellStyle name="F6" xfId="169" xr:uid="{00000000-0005-0000-0000-00008A000000}"/>
    <cellStyle name="F7" xfId="170" xr:uid="{00000000-0005-0000-0000-00008B000000}"/>
    <cellStyle name="F8" xfId="171" xr:uid="{00000000-0005-0000-0000-00008C000000}"/>
    <cellStyle name="FG 0" xfId="488" xr:uid="{00000000-0005-0000-0000-00008D000000}"/>
    <cellStyle name="FG 1" xfId="489" xr:uid="{00000000-0005-0000-0000-00008E000000}"/>
    <cellStyle name="FG 2" xfId="490" xr:uid="{00000000-0005-0000-0000-00008F000000}"/>
    <cellStyle name="FGI 0" xfId="491" xr:uid="{00000000-0005-0000-0000-000090000000}"/>
    <cellStyle name="FGI 1" xfId="492" xr:uid="{00000000-0005-0000-0000-000091000000}"/>
    <cellStyle name="FGI 2" xfId="493" xr:uid="{00000000-0005-0000-0000-000092000000}"/>
    <cellStyle name="FI 0" xfId="494" xr:uid="{00000000-0005-0000-0000-000093000000}"/>
    <cellStyle name="FI 1" xfId="495" xr:uid="{00000000-0005-0000-0000-000094000000}"/>
    <cellStyle name="FI 2" xfId="496" xr:uid="{00000000-0005-0000-0000-000095000000}"/>
    <cellStyle name="Fijo" xfId="172" xr:uid="{00000000-0005-0000-0000-000096000000}"/>
    <cellStyle name="Financ - Style1" xfId="497" xr:uid="{00000000-0005-0000-0000-000097000000}"/>
    <cellStyle name="Financ - Style2" xfId="498" xr:uid="{00000000-0005-0000-0000-000098000000}"/>
    <cellStyle name="Financier" xfId="499" xr:uid="{00000000-0005-0000-0000-000099000000}"/>
    <cellStyle name="Financier 0" xfId="500" xr:uid="{00000000-0005-0000-0000-00009A000000}"/>
    <cellStyle name="Financier 1" xfId="501" xr:uid="{00000000-0005-0000-0000-00009B000000}"/>
    <cellStyle name="Financier 2" xfId="502" xr:uid="{00000000-0005-0000-0000-00009C000000}"/>
    <cellStyle name="Financier0" xfId="503" xr:uid="{00000000-0005-0000-0000-00009D000000}"/>
    <cellStyle name="Financiero" xfId="173" xr:uid="{00000000-0005-0000-0000-00009E000000}"/>
    <cellStyle name="Forklarende tekst" xfId="70" builtinId="53" customBuiltin="1"/>
    <cellStyle name="Forklarende tekst 2" xfId="148" xr:uid="{00000000-0005-0000-0000-0000A0000000}"/>
    <cellStyle name="Forklarende tekst 3" xfId="208" xr:uid="{00000000-0005-0000-0000-0000A1000000}"/>
    <cellStyle name="God" xfId="63" builtinId="26" customBuiltin="1"/>
    <cellStyle name="Grey" xfId="174" xr:uid="{00000000-0005-0000-0000-0000A3000000}"/>
    <cellStyle name="H0" xfId="56" xr:uid="{00000000-0005-0000-0000-0000A4000000}"/>
    <cellStyle name="H0 2" xfId="95" xr:uid="{00000000-0005-0000-0000-0000A5000000}"/>
    <cellStyle name="H0 3" xfId="101" xr:uid="{00000000-0005-0000-0000-0000A6000000}"/>
    <cellStyle name="H1" xfId="57" xr:uid="{00000000-0005-0000-0000-0000A7000000}"/>
    <cellStyle name="H1 2" xfId="114" xr:uid="{00000000-0005-0000-0000-0000A8000000}"/>
    <cellStyle name="H1 3" xfId="381" xr:uid="{00000000-0005-0000-0000-0000A9000000}"/>
    <cellStyle name="H2" xfId="25" xr:uid="{00000000-0005-0000-0000-0000AA000000}"/>
    <cellStyle name="H2 2" xfId="115" xr:uid="{00000000-0005-0000-0000-0000AB000000}"/>
    <cellStyle name="H3" xfId="26" xr:uid="{00000000-0005-0000-0000-0000AC000000}"/>
    <cellStyle name="H3 2" xfId="116" xr:uid="{00000000-0005-0000-0000-0000AD000000}"/>
    <cellStyle name="H4" xfId="27" xr:uid="{00000000-0005-0000-0000-0000AE000000}"/>
    <cellStyle name="H4 2" xfId="117" xr:uid="{00000000-0005-0000-0000-0000AF000000}"/>
    <cellStyle name="Header 1" xfId="175" xr:uid="{00000000-0005-0000-0000-0000B0000000}"/>
    <cellStyle name="Header 1 Left" xfId="176" xr:uid="{00000000-0005-0000-0000-0000B1000000}"/>
    <cellStyle name="Header 1(box)" xfId="177" xr:uid="{00000000-0005-0000-0000-0000B2000000}"/>
    <cellStyle name="Header 1(middle)" xfId="178" xr:uid="{00000000-0005-0000-0000-0000B3000000}"/>
    <cellStyle name="Highlight" xfId="28" xr:uid="{00000000-0005-0000-0000-0000B4000000}"/>
    <cellStyle name="Highlight 2" xfId="118" xr:uid="{00000000-0005-0000-0000-0000B5000000}"/>
    <cellStyle name="Highlight 3" xfId="383" xr:uid="{00000000-0005-0000-0000-0000B6000000}"/>
    <cellStyle name="Hyperlink 2" xfId="622" xr:uid="{00000000-0005-0000-0000-0000B7000000}"/>
    <cellStyle name="Inndata" xfId="66" builtinId="20" customBuiltin="1"/>
    <cellStyle name="Input [yellow]" xfId="179" xr:uid="{00000000-0005-0000-0000-0000B9000000}"/>
    <cellStyle name="Input calculation" xfId="29" xr:uid="{00000000-0005-0000-0000-0000BA000000}"/>
    <cellStyle name="Input calculation 2" xfId="119" xr:uid="{00000000-0005-0000-0000-0000BB000000}"/>
    <cellStyle name="Input data" xfId="30" xr:uid="{00000000-0005-0000-0000-0000BC000000}"/>
    <cellStyle name="Input data 2" xfId="120" xr:uid="{00000000-0005-0000-0000-0000BD000000}"/>
    <cellStyle name="Input estimate" xfId="31" xr:uid="{00000000-0005-0000-0000-0000BE000000}"/>
    <cellStyle name="Input estimate 2" xfId="121" xr:uid="{00000000-0005-0000-0000-0000BF000000}"/>
    <cellStyle name="Input link" xfId="32" xr:uid="{00000000-0005-0000-0000-0000C0000000}"/>
    <cellStyle name="Input link (different workbook)" xfId="33" xr:uid="{00000000-0005-0000-0000-0000C1000000}"/>
    <cellStyle name="Input link (different workbook) 2" xfId="123" xr:uid="{00000000-0005-0000-0000-0000C2000000}"/>
    <cellStyle name="Input link (different workbook) 3" xfId="385" xr:uid="{00000000-0005-0000-0000-0000C3000000}"/>
    <cellStyle name="Input Link (different Worksheet)" xfId="34" xr:uid="{00000000-0005-0000-0000-0000C4000000}"/>
    <cellStyle name="Input link 2" xfId="122" xr:uid="{00000000-0005-0000-0000-0000C5000000}"/>
    <cellStyle name="Input link 3" xfId="384" xr:uid="{00000000-0005-0000-0000-0000C6000000}"/>
    <cellStyle name="Input link 4" xfId="153" xr:uid="{00000000-0005-0000-0000-0000C7000000}"/>
    <cellStyle name="Input link 5" xfId="639" xr:uid="{00000000-0005-0000-0000-0000C8000000}"/>
    <cellStyle name="Input parameter" xfId="35" xr:uid="{00000000-0005-0000-0000-0000C9000000}"/>
    <cellStyle name="Input parameter 2" xfId="124" xr:uid="{00000000-0005-0000-0000-0000CA000000}"/>
    <cellStyle name="Input parameter 3" xfId="386" xr:uid="{00000000-0005-0000-0000-0000CB000000}"/>
    <cellStyle name="Koblet celle" xfId="67" builtinId="24" customBuiltin="1"/>
    <cellStyle name="Komma 2" xfId="199" xr:uid="{00000000-0005-0000-0000-0000CD000000}"/>
    <cellStyle name="Komma 2 2" xfId="667" xr:uid="{00000000-0005-0000-0000-0000CE000000}"/>
    <cellStyle name="Kontrollcelle" xfId="68" builtinId="23" customBuiltin="1"/>
    <cellStyle name="Merknad" xfId="37" builtinId="10" customBuiltin="1"/>
    <cellStyle name="Millares [0]_10 AVERIAS MASIVAS + ANT" xfId="180" xr:uid="{00000000-0005-0000-0000-0000D1000000}"/>
    <cellStyle name="Millares_10 AVERIAS MASIVAS + ANT" xfId="181" xr:uid="{00000000-0005-0000-0000-0000D2000000}"/>
    <cellStyle name="Milliers 2" xfId="453" xr:uid="{00000000-0005-0000-0000-0000D3000000}"/>
    <cellStyle name="Milliers 2 2" xfId="550" xr:uid="{00000000-0005-0000-0000-0000D4000000}"/>
    <cellStyle name="Milliers 3" xfId="464" xr:uid="{00000000-0005-0000-0000-0000D5000000}"/>
    <cellStyle name="Milliers 4" xfId="466" xr:uid="{00000000-0005-0000-0000-0000D6000000}"/>
    <cellStyle name="Milliers 5" xfId="551" xr:uid="{00000000-0005-0000-0000-0000D7000000}"/>
    <cellStyle name="Milliers 5 2" xfId="751" xr:uid="{00000000-0005-0000-0000-0000D8000000}"/>
    <cellStyle name="Mois" xfId="504" xr:uid="{00000000-0005-0000-0000-0000D9000000}"/>
    <cellStyle name="Moneda [0]_10 AVERIAS MASIVAS + ANT" xfId="182" xr:uid="{00000000-0005-0000-0000-0000DA000000}"/>
    <cellStyle name="Moneda_10 AVERIAS MASIVAS + ANT" xfId="183" xr:uid="{00000000-0005-0000-0000-0000DB000000}"/>
    <cellStyle name="Name" xfId="36" xr:uid="{00000000-0005-0000-0000-0000DC000000}"/>
    <cellStyle name="Name 2" xfId="125" xr:uid="{00000000-0005-0000-0000-0000DD000000}"/>
    <cellStyle name="Name 3" xfId="387" xr:uid="{00000000-0005-0000-0000-0000DE000000}"/>
    <cellStyle name="Normal" xfId="0" builtinId="0"/>
    <cellStyle name="Normal - Style1" xfId="184" xr:uid="{00000000-0005-0000-0000-0000E0000000}"/>
    <cellStyle name="Normal 10" xfId="211" xr:uid="{00000000-0005-0000-0000-0000E1000000}"/>
    <cellStyle name="Normal 10 2" xfId="445" xr:uid="{00000000-0005-0000-0000-0000E2000000}"/>
    <cellStyle name="Normal 10 3" xfId="672" xr:uid="{00000000-0005-0000-0000-0000E3000000}"/>
    <cellStyle name="Normal 100" xfId="288" xr:uid="{00000000-0005-0000-0000-0000E4000000}"/>
    <cellStyle name="Normal 101" xfId="289" xr:uid="{00000000-0005-0000-0000-0000E5000000}"/>
    <cellStyle name="Normal 102" xfId="290" xr:uid="{00000000-0005-0000-0000-0000E6000000}"/>
    <cellStyle name="Normal 103" xfId="291" xr:uid="{00000000-0005-0000-0000-0000E7000000}"/>
    <cellStyle name="Normal 104" xfId="292" xr:uid="{00000000-0005-0000-0000-0000E8000000}"/>
    <cellStyle name="Normal 105" xfId="293" xr:uid="{00000000-0005-0000-0000-0000E9000000}"/>
    <cellStyle name="Normal 106" xfId="294" xr:uid="{00000000-0005-0000-0000-0000EA000000}"/>
    <cellStyle name="Normal 107" xfId="295" xr:uid="{00000000-0005-0000-0000-0000EB000000}"/>
    <cellStyle name="Normal 108" xfId="296" xr:uid="{00000000-0005-0000-0000-0000EC000000}"/>
    <cellStyle name="Normal 109" xfId="297" xr:uid="{00000000-0005-0000-0000-0000ED000000}"/>
    <cellStyle name="Normal 11" xfId="223" xr:uid="{00000000-0005-0000-0000-0000EE000000}"/>
    <cellStyle name="Normal 11 2" xfId="677" xr:uid="{00000000-0005-0000-0000-0000EF000000}"/>
    <cellStyle name="Normal 110" xfId="298" xr:uid="{00000000-0005-0000-0000-0000F0000000}"/>
    <cellStyle name="Normal 111" xfId="299" xr:uid="{00000000-0005-0000-0000-0000F1000000}"/>
    <cellStyle name="Normal 112" xfId="300" xr:uid="{00000000-0005-0000-0000-0000F2000000}"/>
    <cellStyle name="Normal 113" xfId="301" xr:uid="{00000000-0005-0000-0000-0000F3000000}"/>
    <cellStyle name="Normal 114" xfId="302" xr:uid="{00000000-0005-0000-0000-0000F4000000}"/>
    <cellStyle name="Normal 115" xfId="303" xr:uid="{00000000-0005-0000-0000-0000F5000000}"/>
    <cellStyle name="Normal 116" xfId="304" xr:uid="{00000000-0005-0000-0000-0000F6000000}"/>
    <cellStyle name="Normal 117" xfId="305" xr:uid="{00000000-0005-0000-0000-0000F7000000}"/>
    <cellStyle name="Normal 118" xfId="306" xr:uid="{00000000-0005-0000-0000-0000F8000000}"/>
    <cellStyle name="Normal 119" xfId="307" xr:uid="{00000000-0005-0000-0000-0000F9000000}"/>
    <cellStyle name="Normal 12" xfId="222" xr:uid="{00000000-0005-0000-0000-0000FA000000}"/>
    <cellStyle name="Normal 12 2" xfId="676" xr:uid="{00000000-0005-0000-0000-0000FB000000}"/>
    <cellStyle name="Normal 120" xfId="308" xr:uid="{00000000-0005-0000-0000-0000FC000000}"/>
    <cellStyle name="Normal 121" xfId="309" xr:uid="{00000000-0005-0000-0000-0000FD000000}"/>
    <cellStyle name="Normal 122" xfId="310" xr:uid="{00000000-0005-0000-0000-0000FE000000}"/>
    <cellStyle name="Normal 123" xfId="311" xr:uid="{00000000-0005-0000-0000-0000FF000000}"/>
    <cellStyle name="Normal 124" xfId="312" xr:uid="{00000000-0005-0000-0000-000000010000}"/>
    <cellStyle name="Normal 125" xfId="313" xr:uid="{00000000-0005-0000-0000-000001010000}"/>
    <cellStyle name="Normal 126" xfId="314" xr:uid="{00000000-0005-0000-0000-000002010000}"/>
    <cellStyle name="Normal 127" xfId="315" xr:uid="{00000000-0005-0000-0000-000003010000}"/>
    <cellStyle name="Normal 128" xfId="316" xr:uid="{00000000-0005-0000-0000-000004010000}"/>
    <cellStyle name="Normal 129" xfId="317" xr:uid="{00000000-0005-0000-0000-000005010000}"/>
    <cellStyle name="Normal 13" xfId="224" xr:uid="{00000000-0005-0000-0000-000006010000}"/>
    <cellStyle name="Normal 130" xfId="318" xr:uid="{00000000-0005-0000-0000-000007010000}"/>
    <cellStyle name="Normal 131" xfId="319" xr:uid="{00000000-0005-0000-0000-000008010000}"/>
    <cellStyle name="Normal 131 2" xfId="685" xr:uid="{00000000-0005-0000-0000-000009010000}"/>
    <cellStyle name="Normal 132" xfId="320" xr:uid="{00000000-0005-0000-0000-00000A010000}"/>
    <cellStyle name="Normal 132 2" xfId="686" xr:uid="{00000000-0005-0000-0000-00000B010000}"/>
    <cellStyle name="Normal 133" xfId="323" xr:uid="{00000000-0005-0000-0000-00000C010000}"/>
    <cellStyle name="Normal 133 2" xfId="688" xr:uid="{00000000-0005-0000-0000-00000D010000}"/>
    <cellStyle name="Normal 134" xfId="324" xr:uid="{00000000-0005-0000-0000-00000E010000}"/>
    <cellStyle name="Normal 134 2" xfId="689" xr:uid="{00000000-0005-0000-0000-00000F010000}"/>
    <cellStyle name="Normal 135" xfId="325" xr:uid="{00000000-0005-0000-0000-000010010000}"/>
    <cellStyle name="Normal 135 2" xfId="690" xr:uid="{00000000-0005-0000-0000-000011010000}"/>
    <cellStyle name="Normal 136" xfId="329" xr:uid="{00000000-0005-0000-0000-000012010000}"/>
    <cellStyle name="Normal 136 2" xfId="694" xr:uid="{00000000-0005-0000-0000-000013010000}"/>
    <cellStyle name="Normal 137" xfId="327" xr:uid="{00000000-0005-0000-0000-000014010000}"/>
    <cellStyle name="Normal 137 2" xfId="692" xr:uid="{00000000-0005-0000-0000-000015010000}"/>
    <cellStyle name="Normal 138" xfId="330" xr:uid="{00000000-0005-0000-0000-000016010000}"/>
    <cellStyle name="Normal 138 2" xfId="695" xr:uid="{00000000-0005-0000-0000-000017010000}"/>
    <cellStyle name="Normal 139" xfId="331" xr:uid="{00000000-0005-0000-0000-000018010000}"/>
    <cellStyle name="Normal 139 2" xfId="696" xr:uid="{00000000-0005-0000-0000-000019010000}"/>
    <cellStyle name="Normal 14" xfId="225" xr:uid="{00000000-0005-0000-0000-00001A010000}"/>
    <cellStyle name="Normal 140" xfId="332" xr:uid="{00000000-0005-0000-0000-00001B010000}"/>
    <cellStyle name="Normal 140 2" xfId="697" xr:uid="{00000000-0005-0000-0000-00001C010000}"/>
    <cellStyle name="Normal 141" xfId="333" xr:uid="{00000000-0005-0000-0000-00001D010000}"/>
    <cellStyle name="Normal 141 2" xfId="698" xr:uid="{00000000-0005-0000-0000-00001E010000}"/>
    <cellStyle name="Normal 142" xfId="334" xr:uid="{00000000-0005-0000-0000-00001F010000}"/>
    <cellStyle name="Normal 142 2" xfId="699" xr:uid="{00000000-0005-0000-0000-000020010000}"/>
    <cellStyle name="Normal 143" xfId="328" xr:uid="{00000000-0005-0000-0000-000021010000}"/>
    <cellStyle name="Normal 143 2" xfId="693" xr:uid="{00000000-0005-0000-0000-000022010000}"/>
    <cellStyle name="Normal 144" xfId="335" xr:uid="{00000000-0005-0000-0000-000023010000}"/>
    <cellStyle name="Normal 144 2" xfId="700" xr:uid="{00000000-0005-0000-0000-000024010000}"/>
    <cellStyle name="Normal 145" xfId="326" xr:uid="{00000000-0005-0000-0000-000025010000}"/>
    <cellStyle name="Normal 145 2" xfId="691" xr:uid="{00000000-0005-0000-0000-000026010000}"/>
    <cellStyle name="Normal 146" xfId="336" xr:uid="{00000000-0005-0000-0000-000027010000}"/>
    <cellStyle name="Normal 146 2" xfId="701" xr:uid="{00000000-0005-0000-0000-000028010000}"/>
    <cellStyle name="Normal 147" xfId="337" xr:uid="{00000000-0005-0000-0000-000029010000}"/>
    <cellStyle name="Normal 147 2" xfId="702" xr:uid="{00000000-0005-0000-0000-00002A010000}"/>
    <cellStyle name="Normal 148" xfId="338" xr:uid="{00000000-0005-0000-0000-00002B010000}"/>
    <cellStyle name="Normal 148 2" xfId="703" xr:uid="{00000000-0005-0000-0000-00002C010000}"/>
    <cellStyle name="Normal 149" xfId="339" xr:uid="{00000000-0005-0000-0000-00002D010000}"/>
    <cellStyle name="Normal 149 2" xfId="704" xr:uid="{00000000-0005-0000-0000-00002E010000}"/>
    <cellStyle name="Normal 15" xfId="226" xr:uid="{00000000-0005-0000-0000-00002F010000}"/>
    <cellStyle name="Normal 150" xfId="340" xr:uid="{00000000-0005-0000-0000-000030010000}"/>
    <cellStyle name="Normal 150 2" xfId="705" xr:uid="{00000000-0005-0000-0000-000031010000}"/>
    <cellStyle name="Normal 151" xfId="341" xr:uid="{00000000-0005-0000-0000-000032010000}"/>
    <cellStyle name="Normal 151 2" xfId="706" xr:uid="{00000000-0005-0000-0000-000033010000}"/>
    <cellStyle name="Normal 152" xfId="342" xr:uid="{00000000-0005-0000-0000-000034010000}"/>
    <cellStyle name="Normal 152 2" xfId="707" xr:uid="{00000000-0005-0000-0000-000035010000}"/>
    <cellStyle name="Normal 153" xfId="343" xr:uid="{00000000-0005-0000-0000-000036010000}"/>
    <cellStyle name="Normal 153 2" xfId="708" xr:uid="{00000000-0005-0000-0000-000037010000}"/>
    <cellStyle name="Normal 154" xfId="348" xr:uid="{00000000-0005-0000-0000-000038010000}"/>
    <cellStyle name="Normal 154 2" xfId="713" xr:uid="{00000000-0005-0000-0000-000039010000}"/>
    <cellStyle name="Normal 155" xfId="344" xr:uid="{00000000-0005-0000-0000-00003A010000}"/>
    <cellStyle name="Normal 155 2" xfId="709" xr:uid="{00000000-0005-0000-0000-00003B010000}"/>
    <cellStyle name="Normal 156" xfId="349" xr:uid="{00000000-0005-0000-0000-00003C010000}"/>
    <cellStyle name="Normal 156 2" xfId="714" xr:uid="{00000000-0005-0000-0000-00003D010000}"/>
    <cellStyle name="Normal 157" xfId="345" xr:uid="{00000000-0005-0000-0000-00003E010000}"/>
    <cellStyle name="Normal 157 2" xfId="710" xr:uid="{00000000-0005-0000-0000-00003F010000}"/>
    <cellStyle name="Normal 158" xfId="350" xr:uid="{00000000-0005-0000-0000-000040010000}"/>
    <cellStyle name="Normal 158 2" xfId="715" xr:uid="{00000000-0005-0000-0000-000041010000}"/>
    <cellStyle name="Normal 159" xfId="346" xr:uid="{00000000-0005-0000-0000-000042010000}"/>
    <cellStyle name="Normal 159 2" xfId="711" xr:uid="{00000000-0005-0000-0000-000043010000}"/>
    <cellStyle name="Normal 16" xfId="227" xr:uid="{00000000-0005-0000-0000-000044010000}"/>
    <cellStyle name="Normal 160" xfId="353" xr:uid="{00000000-0005-0000-0000-000045010000}"/>
    <cellStyle name="Normal 160 2" xfId="718" xr:uid="{00000000-0005-0000-0000-000046010000}"/>
    <cellStyle name="Normal 161" xfId="354" xr:uid="{00000000-0005-0000-0000-000047010000}"/>
    <cellStyle name="Normal 161 2" xfId="719" xr:uid="{00000000-0005-0000-0000-000048010000}"/>
    <cellStyle name="Normal 162" xfId="355" xr:uid="{00000000-0005-0000-0000-000049010000}"/>
    <cellStyle name="Normal 162 2" xfId="720" xr:uid="{00000000-0005-0000-0000-00004A010000}"/>
    <cellStyle name="Normal 163" xfId="356" xr:uid="{00000000-0005-0000-0000-00004B010000}"/>
    <cellStyle name="Normal 163 2" xfId="721" xr:uid="{00000000-0005-0000-0000-00004C010000}"/>
    <cellStyle name="Normal 164" xfId="352" xr:uid="{00000000-0005-0000-0000-00004D010000}"/>
    <cellStyle name="Normal 164 2" xfId="717" xr:uid="{00000000-0005-0000-0000-00004E010000}"/>
    <cellStyle name="Normal 165" xfId="358" xr:uid="{00000000-0005-0000-0000-00004F010000}"/>
    <cellStyle name="Normal 165 2" xfId="723" xr:uid="{00000000-0005-0000-0000-000050010000}"/>
    <cellStyle name="Normal 166" xfId="359" xr:uid="{00000000-0005-0000-0000-000051010000}"/>
    <cellStyle name="Normal 166 2" xfId="724" xr:uid="{00000000-0005-0000-0000-000052010000}"/>
    <cellStyle name="Normal 167" xfId="360" xr:uid="{00000000-0005-0000-0000-000053010000}"/>
    <cellStyle name="Normal 167 2" xfId="725" xr:uid="{00000000-0005-0000-0000-000054010000}"/>
    <cellStyle name="Normal 168" xfId="361" xr:uid="{00000000-0005-0000-0000-000055010000}"/>
    <cellStyle name="Normal 168 2" xfId="726" xr:uid="{00000000-0005-0000-0000-000056010000}"/>
    <cellStyle name="Normal 169" xfId="362" xr:uid="{00000000-0005-0000-0000-000057010000}"/>
    <cellStyle name="Normal 169 2" xfId="727" xr:uid="{00000000-0005-0000-0000-000058010000}"/>
    <cellStyle name="Normal 17" xfId="228" xr:uid="{00000000-0005-0000-0000-000059010000}"/>
    <cellStyle name="Normal 170" xfId="363" xr:uid="{00000000-0005-0000-0000-00005A010000}"/>
    <cellStyle name="Normal 170 2" xfId="728" xr:uid="{00000000-0005-0000-0000-00005B010000}"/>
    <cellStyle name="Normal 171" xfId="364" xr:uid="{00000000-0005-0000-0000-00005C010000}"/>
    <cellStyle name="Normal 171 2" xfId="729" xr:uid="{00000000-0005-0000-0000-00005D010000}"/>
    <cellStyle name="Normal 172" xfId="365" xr:uid="{00000000-0005-0000-0000-00005E010000}"/>
    <cellStyle name="Normal 172 2" xfId="730" xr:uid="{00000000-0005-0000-0000-00005F010000}"/>
    <cellStyle name="Normal 173" xfId="366" xr:uid="{00000000-0005-0000-0000-000060010000}"/>
    <cellStyle name="Normal 173 2" xfId="731" xr:uid="{00000000-0005-0000-0000-000061010000}"/>
    <cellStyle name="Normal 174" xfId="351" xr:uid="{00000000-0005-0000-0000-000062010000}"/>
    <cellStyle name="Normal 174 2" xfId="716" xr:uid="{00000000-0005-0000-0000-000063010000}"/>
    <cellStyle name="Normal 175" xfId="367" xr:uid="{00000000-0005-0000-0000-000064010000}"/>
    <cellStyle name="Normal 175 2" xfId="732" xr:uid="{00000000-0005-0000-0000-000065010000}"/>
    <cellStyle name="Normal 176" xfId="368" xr:uid="{00000000-0005-0000-0000-000066010000}"/>
    <cellStyle name="Normal 176 2" xfId="733" xr:uid="{00000000-0005-0000-0000-000067010000}"/>
    <cellStyle name="Normal 177" xfId="357" xr:uid="{00000000-0005-0000-0000-000068010000}"/>
    <cellStyle name="Normal 177 2" xfId="722" xr:uid="{00000000-0005-0000-0000-000069010000}"/>
    <cellStyle name="Normal 178" xfId="369" xr:uid="{00000000-0005-0000-0000-00006A010000}"/>
    <cellStyle name="Normal 178 2" xfId="734" xr:uid="{00000000-0005-0000-0000-00006B010000}"/>
    <cellStyle name="Normal 179" xfId="370" xr:uid="{00000000-0005-0000-0000-00006C010000}"/>
    <cellStyle name="Normal 179 2" xfId="735" xr:uid="{00000000-0005-0000-0000-00006D010000}"/>
    <cellStyle name="Normal 18" xfId="229" xr:uid="{00000000-0005-0000-0000-00006E010000}"/>
    <cellStyle name="Normal 180" xfId="347" xr:uid="{00000000-0005-0000-0000-00006F010000}"/>
    <cellStyle name="Normal 180 2" xfId="712" xr:uid="{00000000-0005-0000-0000-000070010000}"/>
    <cellStyle name="Normal 181" xfId="371" xr:uid="{00000000-0005-0000-0000-000071010000}"/>
    <cellStyle name="Normal 181 2" xfId="736" xr:uid="{00000000-0005-0000-0000-000072010000}"/>
    <cellStyle name="Normal 182" xfId="372" xr:uid="{00000000-0005-0000-0000-000073010000}"/>
    <cellStyle name="Normal 182 2" xfId="737" xr:uid="{00000000-0005-0000-0000-000074010000}"/>
    <cellStyle name="Normal 183" xfId="374" xr:uid="{00000000-0005-0000-0000-000075010000}"/>
    <cellStyle name="Normal 183 2" xfId="739" xr:uid="{00000000-0005-0000-0000-000076010000}"/>
    <cellStyle name="Normal 184" xfId="375" xr:uid="{00000000-0005-0000-0000-000077010000}"/>
    <cellStyle name="Normal 184 2" xfId="740" xr:uid="{00000000-0005-0000-0000-000078010000}"/>
    <cellStyle name="Normal 185" xfId="373" xr:uid="{00000000-0005-0000-0000-000079010000}"/>
    <cellStyle name="Normal 185 2" xfId="738" xr:uid="{00000000-0005-0000-0000-00007A010000}"/>
    <cellStyle name="Normal 186" xfId="376" xr:uid="{00000000-0005-0000-0000-00007B010000}"/>
    <cellStyle name="Normal 186 2" xfId="741" xr:uid="{00000000-0005-0000-0000-00007C010000}"/>
    <cellStyle name="Normal 187" xfId="96" xr:uid="{00000000-0005-0000-0000-00007D010000}"/>
    <cellStyle name="Normal 187 2" xfId="655" xr:uid="{00000000-0005-0000-0000-00007E010000}"/>
    <cellStyle name="Normal 19" xfId="230" xr:uid="{00000000-0005-0000-0000-00007F010000}"/>
    <cellStyle name="Normal 2" xfId="55" xr:uid="{00000000-0005-0000-0000-000080010000}"/>
    <cellStyle name="Normal 2 2" xfId="185" xr:uid="{00000000-0005-0000-0000-000081010000}"/>
    <cellStyle name="Normal 2 2 2" xfId="579" xr:uid="{00000000-0005-0000-0000-000082010000}"/>
    <cellStyle name="Normal 2 3" xfId="99" xr:uid="{00000000-0005-0000-0000-000083010000}"/>
    <cellStyle name="Normal 2 3 2" xfId="555" xr:uid="{00000000-0005-0000-0000-000084010000}"/>
    <cellStyle name="Normal 2 3 2 2" xfId="753" xr:uid="{00000000-0005-0000-0000-000085010000}"/>
    <cellStyle name="Normal 20" xfId="231" xr:uid="{00000000-0005-0000-0000-000086010000}"/>
    <cellStyle name="Normal 21" xfId="232" xr:uid="{00000000-0005-0000-0000-000087010000}"/>
    <cellStyle name="Normal 22" xfId="233" xr:uid="{00000000-0005-0000-0000-000088010000}"/>
    <cellStyle name="Normal 23" xfId="234" xr:uid="{00000000-0005-0000-0000-000089010000}"/>
    <cellStyle name="Normal 24" xfId="235" xr:uid="{00000000-0005-0000-0000-00008A010000}"/>
    <cellStyle name="Normal 25" xfId="236" xr:uid="{00000000-0005-0000-0000-00008B010000}"/>
    <cellStyle name="Normal 26" xfId="237" xr:uid="{00000000-0005-0000-0000-00008C010000}"/>
    <cellStyle name="Normal 27" xfId="238" xr:uid="{00000000-0005-0000-0000-00008D010000}"/>
    <cellStyle name="Normal 28" xfId="239" xr:uid="{00000000-0005-0000-0000-00008E010000}"/>
    <cellStyle name="Normal 29" xfId="240" xr:uid="{00000000-0005-0000-0000-00008F010000}"/>
    <cellStyle name="Normal 3" xfId="100" xr:uid="{00000000-0005-0000-0000-000090010000}"/>
    <cellStyle name="Normal 3 2" xfId="321" xr:uid="{00000000-0005-0000-0000-000091010000}"/>
    <cellStyle name="Normal 3 3" xfId="451" xr:uid="{00000000-0005-0000-0000-000092010000}"/>
    <cellStyle name="Normal 30" xfId="241" xr:uid="{00000000-0005-0000-0000-000093010000}"/>
    <cellStyle name="Normal 31" xfId="242" xr:uid="{00000000-0005-0000-0000-000094010000}"/>
    <cellStyle name="Normal 32" xfId="243" xr:uid="{00000000-0005-0000-0000-000095010000}"/>
    <cellStyle name="Normal 33" xfId="244" xr:uid="{00000000-0005-0000-0000-000096010000}"/>
    <cellStyle name="Normal 34" xfId="245" xr:uid="{00000000-0005-0000-0000-000097010000}"/>
    <cellStyle name="Normal 35" xfId="246" xr:uid="{00000000-0005-0000-0000-000098010000}"/>
    <cellStyle name="Normal 36" xfId="247" xr:uid="{00000000-0005-0000-0000-000099010000}"/>
    <cellStyle name="Normal 37" xfId="248" xr:uid="{00000000-0005-0000-0000-00009A010000}"/>
    <cellStyle name="Normal 38" xfId="249" xr:uid="{00000000-0005-0000-0000-00009B010000}"/>
    <cellStyle name="Normal 39" xfId="250" xr:uid="{00000000-0005-0000-0000-00009C010000}"/>
    <cellStyle name="Normal 4" xfId="144" xr:uid="{00000000-0005-0000-0000-00009D010000}"/>
    <cellStyle name="Normal 4 2" xfId="322" xr:uid="{00000000-0005-0000-0000-00009E010000}"/>
    <cellStyle name="Normal 4 2 2" xfId="465" xr:uid="{00000000-0005-0000-0000-00009F010000}"/>
    <cellStyle name="Normal 4 2 2 2" xfId="746" xr:uid="{00000000-0005-0000-0000-0000A0010000}"/>
    <cellStyle name="Normal 4 2 3" xfId="547" xr:uid="{00000000-0005-0000-0000-0000A1010000}"/>
    <cellStyle name="Normal 4 2 3 2" xfId="749" xr:uid="{00000000-0005-0000-0000-0000A2010000}"/>
    <cellStyle name="Normal 4 2 4" xfId="687" xr:uid="{00000000-0005-0000-0000-0000A3010000}"/>
    <cellStyle name="Normal 4 3" xfId="546" xr:uid="{00000000-0005-0000-0000-0000A4010000}"/>
    <cellStyle name="Normal 4 3 2" xfId="748" xr:uid="{00000000-0005-0000-0000-0000A5010000}"/>
    <cellStyle name="Normal 4 4" xfId="548" xr:uid="{00000000-0005-0000-0000-0000A6010000}"/>
    <cellStyle name="Normal 4 4 2" xfId="750" xr:uid="{00000000-0005-0000-0000-0000A7010000}"/>
    <cellStyle name="Normal 40" xfId="195" xr:uid="{00000000-0005-0000-0000-0000A8010000}"/>
    <cellStyle name="Normal 40 2" xfId="664" xr:uid="{00000000-0005-0000-0000-0000A9010000}"/>
    <cellStyle name="Normal 41" xfId="221" xr:uid="{00000000-0005-0000-0000-0000AA010000}"/>
    <cellStyle name="Normal 41 2" xfId="675" xr:uid="{00000000-0005-0000-0000-0000AB010000}"/>
    <cellStyle name="Normal 42" xfId="251" xr:uid="{00000000-0005-0000-0000-0000AC010000}"/>
    <cellStyle name="Normal 42 2" xfId="678" xr:uid="{00000000-0005-0000-0000-0000AD010000}"/>
    <cellStyle name="Normal 43" xfId="202" xr:uid="{00000000-0005-0000-0000-0000AE010000}"/>
    <cellStyle name="Normal 43 2" xfId="669" xr:uid="{00000000-0005-0000-0000-0000AF010000}"/>
    <cellStyle name="Normal 44" xfId="218" xr:uid="{00000000-0005-0000-0000-0000B0010000}"/>
    <cellStyle name="Normal 44 2" xfId="674" xr:uid="{00000000-0005-0000-0000-0000B1010000}"/>
    <cellStyle name="Normal 45" xfId="258" xr:uid="{00000000-0005-0000-0000-0000B2010000}"/>
    <cellStyle name="Normal 45 2" xfId="682" xr:uid="{00000000-0005-0000-0000-0000B3010000}"/>
    <cellStyle name="Normal 46" xfId="204" xr:uid="{00000000-0005-0000-0000-0000B4010000}"/>
    <cellStyle name="Normal 46 2" xfId="670" xr:uid="{00000000-0005-0000-0000-0000B5010000}"/>
    <cellStyle name="Normal 47" xfId="213" xr:uid="{00000000-0005-0000-0000-0000B6010000}"/>
    <cellStyle name="Normal 47 2" xfId="673" xr:uid="{00000000-0005-0000-0000-0000B7010000}"/>
    <cellStyle name="Normal 48" xfId="252" xr:uid="{00000000-0005-0000-0000-0000B8010000}"/>
    <cellStyle name="Normal 48 2" xfId="679" xr:uid="{00000000-0005-0000-0000-0000B9010000}"/>
    <cellStyle name="Normal 49" xfId="257" xr:uid="{00000000-0005-0000-0000-0000BA010000}"/>
    <cellStyle name="Normal 49 2" xfId="681" xr:uid="{00000000-0005-0000-0000-0000BB010000}"/>
    <cellStyle name="Normal 5" xfId="147" xr:uid="{00000000-0005-0000-0000-0000BC010000}"/>
    <cellStyle name="Normal 5 2" xfId="455" xr:uid="{00000000-0005-0000-0000-0000BD010000}"/>
    <cellStyle name="Normal 5 3" xfId="658" xr:uid="{00000000-0005-0000-0000-0000BE010000}"/>
    <cellStyle name="Normal 50" xfId="254" xr:uid="{00000000-0005-0000-0000-0000BF010000}"/>
    <cellStyle name="Normal 50 2" xfId="680" xr:uid="{00000000-0005-0000-0000-0000C0010000}"/>
    <cellStyle name="Normal 51" xfId="197" xr:uid="{00000000-0005-0000-0000-0000C1010000}"/>
    <cellStyle name="Normal 51 2" xfId="666" xr:uid="{00000000-0005-0000-0000-0000C2010000}"/>
    <cellStyle name="Normal 52" xfId="262" xr:uid="{00000000-0005-0000-0000-0000C3010000}"/>
    <cellStyle name="Normal 52 2" xfId="684" xr:uid="{00000000-0005-0000-0000-0000C4010000}"/>
    <cellStyle name="Normal 53" xfId="201" xr:uid="{00000000-0005-0000-0000-0000C5010000}"/>
    <cellStyle name="Normal 53 2" xfId="668" xr:uid="{00000000-0005-0000-0000-0000C6010000}"/>
    <cellStyle name="Normal 54" xfId="206" xr:uid="{00000000-0005-0000-0000-0000C7010000}"/>
    <cellStyle name="Normal 54 2" xfId="671" xr:uid="{00000000-0005-0000-0000-0000C8010000}"/>
    <cellStyle name="Normal 55" xfId="261" xr:uid="{00000000-0005-0000-0000-0000C9010000}"/>
    <cellStyle name="Normal 55 2" xfId="683" xr:uid="{00000000-0005-0000-0000-0000CA010000}"/>
    <cellStyle name="Normal 56" xfId="216" xr:uid="{00000000-0005-0000-0000-0000CB010000}"/>
    <cellStyle name="Normal 57" xfId="215" xr:uid="{00000000-0005-0000-0000-0000CC010000}"/>
    <cellStyle name="Normal 58" xfId="214" xr:uid="{00000000-0005-0000-0000-0000CD010000}"/>
    <cellStyle name="Normal 59" xfId="198" xr:uid="{00000000-0005-0000-0000-0000CE010000}"/>
    <cellStyle name="Normal 6" xfId="149" xr:uid="{00000000-0005-0000-0000-0000CF010000}"/>
    <cellStyle name="Normal 6 2" xfId="457" xr:uid="{00000000-0005-0000-0000-0000D0010000}"/>
    <cellStyle name="Normal 6 2 2" xfId="743" xr:uid="{00000000-0005-0000-0000-0000D1010000}"/>
    <cellStyle name="Normal 6 3" xfId="659" xr:uid="{00000000-0005-0000-0000-0000D2010000}"/>
    <cellStyle name="Normal 60" xfId="253" xr:uid="{00000000-0005-0000-0000-0000D3010000}"/>
    <cellStyle name="Normal 61" xfId="212" xr:uid="{00000000-0005-0000-0000-0000D4010000}"/>
    <cellStyle name="Normal 62" xfId="219" xr:uid="{00000000-0005-0000-0000-0000D5010000}"/>
    <cellStyle name="Normal 63" xfId="220" xr:uid="{00000000-0005-0000-0000-0000D6010000}"/>
    <cellStyle name="Normal 64" xfId="259" xr:uid="{00000000-0005-0000-0000-0000D7010000}"/>
    <cellStyle name="Normal 65" xfId="207" xr:uid="{00000000-0005-0000-0000-0000D8010000}"/>
    <cellStyle name="Normal 66" xfId="209" xr:uid="{00000000-0005-0000-0000-0000D9010000}"/>
    <cellStyle name="Normal 67" xfId="217" xr:uid="{00000000-0005-0000-0000-0000DA010000}"/>
    <cellStyle name="Normal 68" xfId="200" xr:uid="{00000000-0005-0000-0000-0000DB010000}"/>
    <cellStyle name="Normal 69" xfId="256" xr:uid="{00000000-0005-0000-0000-0000DC010000}"/>
    <cellStyle name="Normal 7" xfId="150" xr:uid="{00000000-0005-0000-0000-0000DD010000}"/>
    <cellStyle name="Normal 7 2" xfId="460" xr:uid="{00000000-0005-0000-0000-0000DE010000}"/>
    <cellStyle name="Normal 7 2 2" xfId="745" xr:uid="{00000000-0005-0000-0000-0000DF010000}"/>
    <cellStyle name="Normal 7 3" xfId="660" xr:uid="{00000000-0005-0000-0000-0000E0010000}"/>
    <cellStyle name="Normal 70" xfId="255" xr:uid="{00000000-0005-0000-0000-0000E1010000}"/>
    <cellStyle name="Normal 71" xfId="260" xr:uid="{00000000-0005-0000-0000-0000E2010000}"/>
    <cellStyle name="Normal 72" xfId="203" xr:uid="{00000000-0005-0000-0000-0000E3010000}"/>
    <cellStyle name="Normal 73" xfId="210" xr:uid="{00000000-0005-0000-0000-0000E4010000}"/>
    <cellStyle name="Normal 74" xfId="205" xr:uid="{00000000-0005-0000-0000-0000E5010000}"/>
    <cellStyle name="Normal 75" xfId="263" xr:uid="{00000000-0005-0000-0000-0000E6010000}"/>
    <cellStyle name="Normal 76" xfId="264" xr:uid="{00000000-0005-0000-0000-0000E7010000}"/>
    <cellStyle name="Normal 77" xfId="265" xr:uid="{00000000-0005-0000-0000-0000E8010000}"/>
    <cellStyle name="Normal 78" xfId="266" xr:uid="{00000000-0005-0000-0000-0000E9010000}"/>
    <cellStyle name="Normal 79" xfId="267" xr:uid="{00000000-0005-0000-0000-0000EA010000}"/>
    <cellStyle name="Normal 8" xfId="151" xr:uid="{00000000-0005-0000-0000-0000EB010000}"/>
    <cellStyle name="Normal 8 2" xfId="462" xr:uid="{00000000-0005-0000-0000-0000EC010000}"/>
    <cellStyle name="Normal 8 3" xfId="661" xr:uid="{00000000-0005-0000-0000-0000ED010000}"/>
    <cellStyle name="Normal 80" xfId="268" xr:uid="{00000000-0005-0000-0000-0000EE010000}"/>
    <cellStyle name="Normal 81" xfId="269" xr:uid="{00000000-0005-0000-0000-0000EF010000}"/>
    <cellStyle name="Normal 82" xfId="270" xr:uid="{00000000-0005-0000-0000-0000F0010000}"/>
    <cellStyle name="Normal 83" xfId="271" xr:uid="{00000000-0005-0000-0000-0000F1010000}"/>
    <cellStyle name="Normal 84" xfId="272" xr:uid="{00000000-0005-0000-0000-0000F2010000}"/>
    <cellStyle name="Normal 85" xfId="273" xr:uid="{00000000-0005-0000-0000-0000F3010000}"/>
    <cellStyle name="Normal 86" xfId="274" xr:uid="{00000000-0005-0000-0000-0000F4010000}"/>
    <cellStyle name="Normal 87" xfId="275" xr:uid="{00000000-0005-0000-0000-0000F5010000}"/>
    <cellStyle name="Normal 88" xfId="276" xr:uid="{00000000-0005-0000-0000-0000F6010000}"/>
    <cellStyle name="Normal 89" xfId="277" xr:uid="{00000000-0005-0000-0000-0000F7010000}"/>
    <cellStyle name="Normal 9" xfId="196" xr:uid="{00000000-0005-0000-0000-0000F8010000}"/>
    <cellStyle name="Normal 9 2" xfId="545" xr:uid="{00000000-0005-0000-0000-0000F9010000}"/>
    <cellStyle name="Normal 9 2 2" xfId="747" xr:uid="{00000000-0005-0000-0000-0000FA010000}"/>
    <cellStyle name="Normal 9 3" xfId="665" xr:uid="{00000000-0005-0000-0000-0000FB010000}"/>
    <cellStyle name="Normal 90" xfId="278" xr:uid="{00000000-0005-0000-0000-0000FC010000}"/>
    <cellStyle name="Normal 91" xfId="279" xr:uid="{00000000-0005-0000-0000-0000FD010000}"/>
    <cellStyle name="Normal 92" xfId="280" xr:uid="{00000000-0005-0000-0000-0000FE010000}"/>
    <cellStyle name="Normal 93" xfId="281" xr:uid="{00000000-0005-0000-0000-0000FF010000}"/>
    <cellStyle name="Normal 94" xfId="282" xr:uid="{00000000-0005-0000-0000-000000020000}"/>
    <cellStyle name="Normal 95" xfId="283" xr:uid="{00000000-0005-0000-0000-000001020000}"/>
    <cellStyle name="Normal 96" xfId="284" xr:uid="{00000000-0005-0000-0000-000002020000}"/>
    <cellStyle name="Normal 97" xfId="285" xr:uid="{00000000-0005-0000-0000-000003020000}"/>
    <cellStyle name="Normal 98" xfId="286" xr:uid="{00000000-0005-0000-0000-000004020000}"/>
    <cellStyle name="Normal 99" xfId="287" xr:uid="{00000000-0005-0000-0000-000005020000}"/>
    <cellStyle name="Normalny_PLDT" xfId="186" xr:uid="{00000000-0005-0000-0000-000006020000}"/>
    <cellStyle name="Note 2" xfId="139" xr:uid="{00000000-0005-0000-0000-000007020000}"/>
    <cellStyle name="Note 2 2" xfId="448" xr:uid="{00000000-0005-0000-0000-000008020000}"/>
    <cellStyle name="Note 2 2 2" xfId="742" xr:uid="{00000000-0005-0000-0000-000009020000}"/>
    <cellStyle name="Number" xfId="38" xr:uid="{00000000-0005-0000-0000-00000A020000}"/>
    <cellStyle name="Number (2dp)" xfId="39" xr:uid="{00000000-0005-0000-0000-00000B020000}"/>
    <cellStyle name="Number (2dp) 2" xfId="127" xr:uid="{00000000-0005-0000-0000-00000C020000}"/>
    <cellStyle name="Number (2dp) 2 2" xfId="578" xr:uid="{00000000-0005-0000-0000-00000D020000}"/>
    <cellStyle name="Number (2dp) 3" xfId="413" xr:uid="{00000000-0005-0000-0000-00000E020000}"/>
    <cellStyle name="Number (2dp) 4" xfId="630" xr:uid="{00000000-0005-0000-0000-00000F020000}"/>
    <cellStyle name="Number (2dp) 5" xfId="389" xr:uid="{00000000-0005-0000-0000-000010020000}"/>
    <cellStyle name="Number 10" xfId="572" xr:uid="{00000000-0005-0000-0000-000011020000}"/>
    <cellStyle name="Number 11" xfId="554" xr:uid="{00000000-0005-0000-0000-000012020000}"/>
    <cellStyle name="Number 12" xfId="566" xr:uid="{00000000-0005-0000-0000-000013020000}"/>
    <cellStyle name="Number 13" xfId="436" xr:uid="{00000000-0005-0000-0000-000014020000}"/>
    <cellStyle name="Number 14" xfId="577" xr:uid="{00000000-0005-0000-0000-000015020000}"/>
    <cellStyle name="Number 15" xfId="557" xr:uid="{00000000-0005-0000-0000-000016020000}"/>
    <cellStyle name="Number 16" xfId="587" xr:uid="{00000000-0005-0000-0000-000017020000}"/>
    <cellStyle name="Number 17" xfId="584" xr:uid="{00000000-0005-0000-0000-000018020000}"/>
    <cellStyle name="Number 18" xfId="581" xr:uid="{00000000-0005-0000-0000-000019020000}"/>
    <cellStyle name="Number 19" xfId="412" xr:uid="{00000000-0005-0000-0000-00001A020000}"/>
    <cellStyle name="Number 2" xfId="126" xr:uid="{00000000-0005-0000-0000-00001B020000}"/>
    <cellStyle name="Number 2 2" xfId="432" xr:uid="{00000000-0005-0000-0000-00001C020000}"/>
    <cellStyle name="Number 20" xfId="396" xr:uid="{00000000-0005-0000-0000-00001D020000}"/>
    <cellStyle name="Number 21" xfId="614" xr:uid="{00000000-0005-0000-0000-00001E020000}"/>
    <cellStyle name="Number 22" xfId="392" xr:uid="{00000000-0005-0000-0000-00001F020000}"/>
    <cellStyle name="Number 23" xfId="612" xr:uid="{00000000-0005-0000-0000-000020020000}"/>
    <cellStyle name="Number 24" xfId="592" xr:uid="{00000000-0005-0000-0000-000021020000}"/>
    <cellStyle name="Number 25" xfId="597" xr:uid="{00000000-0005-0000-0000-000022020000}"/>
    <cellStyle name="Number 26" xfId="395" xr:uid="{00000000-0005-0000-0000-000023020000}"/>
    <cellStyle name="Number 27" xfId="596" xr:uid="{00000000-0005-0000-0000-000024020000}"/>
    <cellStyle name="Number 28" xfId="617" xr:uid="{00000000-0005-0000-0000-000025020000}"/>
    <cellStyle name="Number 29" xfId="607" xr:uid="{00000000-0005-0000-0000-000026020000}"/>
    <cellStyle name="Number 3" xfId="429" xr:uid="{00000000-0005-0000-0000-000027020000}"/>
    <cellStyle name="Number 30" xfId="608" xr:uid="{00000000-0005-0000-0000-000028020000}"/>
    <cellStyle name="Number 31" xfId="402" xr:uid="{00000000-0005-0000-0000-000029020000}"/>
    <cellStyle name="Number 32" xfId="609" xr:uid="{00000000-0005-0000-0000-00002A020000}"/>
    <cellStyle name="Number 33" xfId="404" xr:uid="{00000000-0005-0000-0000-00002B020000}"/>
    <cellStyle name="Number 34" xfId="610" xr:uid="{00000000-0005-0000-0000-00002C020000}"/>
    <cellStyle name="Number 35" xfId="405" xr:uid="{00000000-0005-0000-0000-00002D020000}"/>
    <cellStyle name="Number 36" xfId="416" xr:uid="{00000000-0005-0000-0000-00002E020000}"/>
    <cellStyle name="Number 37" xfId="403" xr:uid="{00000000-0005-0000-0000-00002F020000}"/>
    <cellStyle name="Number 38" xfId="605" xr:uid="{00000000-0005-0000-0000-000030020000}"/>
    <cellStyle name="Number 39" xfId="593" xr:uid="{00000000-0005-0000-0000-000031020000}"/>
    <cellStyle name="Number 4" xfId="571" xr:uid="{00000000-0005-0000-0000-000032020000}"/>
    <cellStyle name="Number 40" xfId="619" xr:uid="{00000000-0005-0000-0000-000033020000}"/>
    <cellStyle name="Number 41" xfId="600" xr:uid="{00000000-0005-0000-0000-000034020000}"/>
    <cellStyle name="Number 42" xfId="611" xr:uid="{00000000-0005-0000-0000-000035020000}"/>
    <cellStyle name="Number 43" xfId="615" xr:uid="{00000000-0005-0000-0000-000036020000}"/>
    <cellStyle name="Number 44" xfId="591" xr:uid="{00000000-0005-0000-0000-000037020000}"/>
    <cellStyle name="Number 45" xfId="602" xr:uid="{00000000-0005-0000-0000-000038020000}"/>
    <cellStyle name="Number 46" xfId="417" xr:uid="{00000000-0005-0000-0000-000039020000}"/>
    <cellStyle name="Number 47" xfId="409" xr:uid="{00000000-0005-0000-0000-00003A020000}"/>
    <cellStyle name="Number 48" xfId="598" xr:uid="{00000000-0005-0000-0000-00003B020000}"/>
    <cellStyle name="Number 49" xfId="618" xr:uid="{00000000-0005-0000-0000-00003C020000}"/>
    <cellStyle name="Number 5" xfId="553" xr:uid="{00000000-0005-0000-0000-00003D020000}"/>
    <cellStyle name="Number 50" xfId="399" xr:uid="{00000000-0005-0000-0000-00003E020000}"/>
    <cellStyle name="Number 51" xfId="401" xr:uid="{00000000-0005-0000-0000-00003F020000}"/>
    <cellStyle name="Number 52" xfId="601" xr:uid="{00000000-0005-0000-0000-000040020000}"/>
    <cellStyle name="Number 53" xfId="393" xr:uid="{00000000-0005-0000-0000-000041020000}"/>
    <cellStyle name="Number 54" xfId="415" xr:uid="{00000000-0005-0000-0000-000042020000}"/>
    <cellStyle name="Number 55" xfId="613" xr:uid="{00000000-0005-0000-0000-000043020000}"/>
    <cellStyle name="Number 56" xfId="414" xr:uid="{00000000-0005-0000-0000-000044020000}"/>
    <cellStyle name="Number 57" xfId="410" xr:uid="{00000000-0005-0000-0000-000045020000}"/>
    <cellStyle name="Number 58" xfId="408" xr:uid="{00000000-0005-0000-0000-000046020000}"/>
    <cellStyle name="Number 59" xfId="599" xr:uid="{00000000-0005-0000-0000-000047020000}"/>
    <cellStyle name="Number 6" xfId="438" xr:uid="{00000000-0005-0000-0000-000048020000}"/>
    <cellStyle name="Number 60" xfId="595" xr:uid="{00000000-0005-0000-0000-000049020000}"/>
    <cellStyle name="Number 61" xfId="594" xr:uid="{00000000-0005-0000-0000-00004A020000}"/>
    <cellStyle name="Number 62" xfId="418" xr:uid="{00000000-0005-0000-0000-00004B020000}"/>
    <cellStyle name="Number 63" xfId="394" xr:uid="{00000000-0005-0000-0000-00004C020000}"/>
    <cellStyle name="Number 64" xfId="397" xr:uid="{00000000-0005-0000-0000-00004D020000}"/>
    <cellStyle name="Number 65" xfId="419" xr:uid="{00000000-0005-0000-0000-00004E020000}"/>
    <cellStyle name="Number 66" xfId="603" xr:uid="{00000000-0005-0000-0000-00004F020000}"/>
    <cellStyle name="Number 67" xfId="616" xr:uid="{00000000-0005-0000-0000-000050020000}"/>
    <cellStyle name="Number 68" xfId="604" xr:uid="{00000000-0005-0000-0000-000051020000}"/>
    <cellStyle name="Number 69" xfId="406" xr:uid="{00000000-0005-0000-0000-000052020000}"/>
    <cellStyle name="Number 7" xfId="443" xr:uid="{00000000-0005-0000-0000-000053020000}"/>
    <cellStyle name="Number 70" xfId="398" xr:uid="{00000000-0005-0000-0000-000054020000}"/>
    <cellStyle name="Number 71" xfId="407" xr:uid="{00000000-0005-0000-0000-000055020000}"/>
    <cellStyle name="Number 72" xfId="400" xr:uid="{00000000-0005-0000-0000-000056020000}"/>
    <cellStyle name="Number 73" xfId="606" xr:uid="{00000000-0005-0000-0000-000057020000}"/>
    <cellStyle name="Number 74" xfId="620" xr:uid="{00000000-0005-0000-0000-000058020000}"/>
    <cellStyle name="Number 75" xfId="411" xr:uid="{00000000-0005-0000-0000-000059020000}"/>
    <cellStyle name="Number 76" xfId="621" xr:uid="{00000000-0005-0000-0000-00005A020000}"/>
    <cellStyle name="Number 77" xfId="629" xr:uid="{00000000-0005-0000-0000-00005B020000}"/>
    <cellStyle name="Number 78" xfId="625" xr:uid="{00000000-0005-0000-0000-00005C020000}"/>
    <cellStyle name="Number 79" xfId="632" xr:uid="{00000000-0005-0000-0000-00005D020000}"/>
    <cellStyle name="Number 8" xfId="556" xr:uid="{00000000-0005-0000-0000-00005E020000}"/>
    <cellStyle name="Number 80" xfId="628" xr:uid="{00000000-0005-0000-0000-00005F020000}"/>
    <cellStyle name="Number 81" xfId="623" xr:uid="{00000000-0005-0000-0000-000060020000}"/>
    <cellStyle name="Number 82" xfId="636" xr:uid="{00000000-0005-0000-0000-000061020000}"/>
    <cellStyle name="Number 83" xfId="637" xr:uid="{00000000-0005-0000-0000-000062020000}"/>
    <cellStyle name="Number 84" xfId="388" xr:uid="{00000000-0005-0000-0000-000063020000}"/>
    <cellStyle name="Number 85" xfId="111" xr:uid="{00000000-0005-0000-0000-000064020000}"/>
    <cellStyle name="Number 86" xfId="641" xr:uid="{00000000-0005-0000-0000-000065020000}"/>
    <cellStyle name="Number 9" xfId="430" xr:uid="{00000000-0005-0000-0000-000066020000}"/>
    <cellStyle name="Nøytral" xfId="65" builtinId="28" customBuiltin="1"/>
    <cellStyle name="Output 2" xfId="142" xr:uid="{00000000-0005-0000-0000-000068020000}"/>
    <cellStyle name="Output 2 2" xfId="446" xr:uid="{00000000-0005-0000-0000-000069020000}"/>
    <cellStyle name="Output 3" xfId="390" xr:uid="{00000000-0005-0000-0000-00006A020000}"/>
    <cellStyle name="Overskrift 1" xfId="59" builtinId="16" customBuiltin="1"/>
    <cellStyle name="Overskrift 2" xfId="60" builtinId="17" customBuiltin="1"/>
    <cellStyle name="Overskrift 3" xfId="61" builtinId="18" customBuiltin="1"/>
    <cellStyle name="Overskrift 4" xfId="62" builtinId="19" customBuiltin="1"/>
    <cellStyle name="Percent [2]" xfId="187" xr:uid="{00000000-0005-0000-0000-00006F020000}"/>
    <cellStyle name="Percent 2" xfId="98" xr:uid="{00000000-0005-0000-0000-000070020000}"/>
    <cellStyle name="Percent 2 2" xfId="459" xr:uid="{00000000-0005-0000-0000-000071020000}"/>
    <cellStyle name="Percent 2 3" xfId="657" xr:uid="{00000000-0005-0000-0000-000072020000}"/>
    <cellStyle name="Percent 3" xfId="582" xr:uid="{00000000-0005-0000-0000-000073020000}"/>
    <cellStyle name="Percent 4" xfId="589" xr:uid="{00000000-0005-0000-0000-000074020000}"/>
    <cellStyle name="Percentage" xfId="41" xr:uid="{00000000-0005-0000-0000-000075020000}"/>
    <cellStyle name="Percentage (2dp)" xfId="42" xr:uid="{00000000-0005-0000-0000-000076020000}"/>
    <cellStyle name="Percentage (2dp) 2" xfId="129" xr:uid="{00000000-0005-0000-0000-000077020000}"/>
    <cellStyle name="Percentage (2dp) 2 2" xfId="434" xr:uid="{00000000-0005-0000-0000-000078020000}"/>
    <cellStyle name="Percentage 10" xfId="573" xr:uid="{00000000-0005-0000-0000-000079020000}"/>
    <cellStyle name="Percentage 11" xfId="562" xr:uid="{00000000-0005-0000-0000-00007A020000}"/>
    <cellStyle name="Percentage 12" xfId="563" xr:uid="{00000000-0005-0000-0000-00007B020000}"/>
    <cellStyle name="Percentage 13" xfId="431" xr:uid="{00000000-0005-0000-0000-00007C020000}"/>
    <cellStyle name="Percentage 14" xfId="559" xr:uid="{00000000-0005-0000-0000-00007D020000}"/>
    <cellStyle name="Percentage 15" xfId="569" xr:uid="{00000000-0005-0000-0000-00007E020000}"/>
    <cellStyle name="Percentage 16" xfId="586" xr:uid="{00000000-0005-0000-0000-00007F020000}"/>
    <cellStyle name="Percentage 17" xfId="583" xr:uid="{00000000-0005-0000-0000-000080020000}"/>
    <cellStyle name="Percentage 18" xfId="588" xr:uid="{00000000-0005-0000-0000-000081020000}"/>
    <cellStyle name="Percentage 19" xfId="631" xr:uid="{00000000-0005-0000-0000-000082020000}"/>
    <cellStyle name="Percentage 2" xfId="128" xr:uid="{00000000-0005-0000-0000-000083020000}"/>
    <cellStyle name="Percentage 2 2" xfId="433" xr:uid="{00000000-0005-0000-0000-000084020000}"/>
    <cellStyle name="Percentage 20" xfId="624" xr:uid="{00000000-0005-0000-0000-000085020000}"/>
    <cellStyle name="Percentage 21" xfId="635" xr:uid="{00000000-0005-0000-0000-000086020000}"/>
    <cellStyle name="Percentage 22" xfId="626" xr:uid="{00000000-0005-0000-0000-000087020000}"/>
    <cellStyle name="Percentage 23" xfId="634" xr:uid="{00000000-0005-0000-0000-000088020000}"/>
    <cellStyle name="Percentage 24" xfId="627" xr:uid="{00000000-0005-0000-0000-000089020000}"/>
    <cellStyle name="Percentage 25" xfId="633" xr:uid="{00000000-0005-0000-0000-00008A020000}"/>
    <cellStyle name="Percentage 26" xfId="391" xr:uid="{00000000-0005-0000-0000-00008B020000}"/>
    <cellStyle name="Percentage 27" xfId="113" xr:uid="{00000000-0005-0000-0000-00008C020000}"/>
    <cellStyle name="Percentage 28" xfId="640" xr:uid="{00000000-0005-0000-0000-00008D020000}"/>
    <cellStyle name="Percentage 3" xfId="428" xr:uid="{00000000-0005-0000-0000-00008E020000}"/>
    <cellStyle name="Percentage 4" xfId="570" xr:uid="{00000000-0005-0000-0000-00008F020000}"/>
    <cellStyle name="Percentage 5" xfId="442" xr:uid="{00000000-0005-0000-0000-000090020000}"/>
    <cellStyle name="Percentage 6" xfId="574" xr:uid="{00000000-0005-0000-0000-000091020000}"/>
    <cellStyle name="Percentage 7" xfId="561" xr:uid="{00000000-0005-0000-0000-000092020000}"/>
    <cellStyle name="Percentage 8" xfId="564" xr:uid="{00000000-0005-0000-0000-000093020000}"/>
    <cellStyle name="Percentage 9" xfId="440" xr:uid="{00000000-0005-0000-0000-000094020000}"/>
    <cellStyle name="Pourcentage 1" xfId="505" xr:uid="{00000000-0005-0000-0000-000095020000}"/>
    <cellStyle name="Pourcentage 2" xfId="454" xr:uid="{00000000-0005-0000-0000-000096020000}"/>
    <cellStyle name="Pourcentage 2 2" xfId="549" xr:uid="{00000000-0005-0000-0000-000097020000}"/>
    <cellStyle name="Pourcentage 3" xfId="456" xr:uid="{00000000-0005-0000-0000-000098020000}"/>
    <cellStyle name="Pourcentage 4" xfId="458" xr:uid="{00000000-0005-0000-0000-000099020000}"/>
    <cellStyle name="Pourcentage 4 2" xfId="744" xr:uid="{00000000-0005-0000-0000-00009A020000}"/>
    <cellStyle name="Pourcentage 5" xfId="463" xr:uid="{00000000-0005-0000-0000-00009B020000}"/>
    <cellStyle name="Pourcentage 6" xfId="552" xr:uid="{00000000-0005-0000-0000-00009C020000}"/>
    <cellStyle name="Pourcentage 6 2" xfId="752" xr:uid="{00000000-0005-0000-0000-00009D020000}"/>
    <cellStyle name="Pourcentage1" xfId="506" xr:uid="{00000000-0005-0000-0000-00009E020000}"/>
    <cellStyle name="Prosent" xfId="642" builtinId="5"/>
    <cellStyle name="Prosent 2" xfId="188" xr:uid="{00000000-0005-0000-0000-0000A0020000}"/>
    <cellStyle name="Prosent 3" xfId="189" xr:uid="{00000000-0005-0000-0000-0000A1020000}"/>
    <cellStyle name="Row label" xfId="43" xr:uid="{00000000-0005-0000-0000-0000A2020000}"/>
    <cellStyle name="Row label (indent)" xfId="44" xr:uid="{00000000-0005-0000-0000-0000A3020000}"/>
    <cellStyle name="Row label (indent) 2" xfId="131" xr:uid="{00000000-0005-0000-0000-0000A4020000}"/>
    <cellStyle name="Row label 2" xfId="130" xr:uid="{00000000-0005-0000-0000-0000A5020000}"/>
    <cellStyle name="SAPBEXaggData" xfId="507" xr:uid="{00000000-0005-0000-0000-0000A6020000}"/>
    <cellStyle name="SAPBEXaggDataEmph" xfId="508" xr:uid="{00000000-0005-0000-0000-0000A7020000}"/>
    <cellStyle name="SAPBEXaggItem" xfId="509" xr:uid="{00000000-0005-0000-0000-0000A8020000}"/>
    <cellStyle name="SAPBEXaggItemX" xfId="510" xr:uid="{00000000-0005-0000-0000-0000A9020000}"/>
    <cellStyle name="SAPBEXchaText" xfId="511" xr:uid="{00000000-0005-0000-0000-0000AA020000}"/>
    <cellStyle name="SAPBEXexcBad7" xfId="512" xr:uid="{00000000-0005-0000-0000-0000AB020000}"/>
    <cellStyle name="SAPBEXexcBad8" xfId="513" xr:uid="{00000000-0005-0000-0000-0000AC020000}"/>
    <cellStyle name="SAPBEXexcBad9" xfId="514" xr:uid="{00000000-0005-0000-0000-0000AD020000}"/>
    <cellStyle name="SAPBEXexcCritical4" xfId="515" xr:uid="{00000000-0005-0000-0000-0000AE020000}"/>
    <cellStyle name="SAPBEXexcCritical5" xfId="516" xr:uid="{00000000-0005-0000-0000-0000AF020000}"/>
    <cellStyle name="SAPBEXexcCritical6" xfId="517" xr:uid="{00000000-0005-0000-0000-0000B0020000}"/>
    <cellStyle name="SAPBEXexcGood1" xfId="518" xr:uid="{00000000-0005-0000-0000-0000B1020000}"/>
    <cellStyle name="SAPBEXexcGood2" xfId="519" xr:uid="{00000000-0005-0000-0000-0000B2020000}"/>
    <cellStyle name="SAPBEXexcGood3" xfId="520" xr:uid="{00000000-0005-0000-0000-0000B3020000}"/>
    <cellStyle name="SAPBEXfilterDrill" xfId="521" xr:uid="{00000000-0005-0000-0000-0000B4020000}"/>
    <cellStyle name="SAPBEXfilterItem" xfId="522" xr:uid="{00000000-0005-0000-0000-0000B5020000}"/>
    <cellStyle name="SAPBEXfilterText" xfId="523" xr:uid="{00000000-0005-0000-0000-0000B6020000}"/>
    <cellStyle name="SAPBEXformats" xfId="524" xr:uid="{00000000-0005-0000-0000-0000B7020000}"/>
    <cellStyle name="SAPBEXheaderItem" xfId="525" xr:uid="{00000000-0005-0000-0000-0000B8020000}"/>
    <cellStyle name="SAPBEXheaderText" xfId="526" xr:uid="{00000000-0005-0000-0000-0000B9020000}"/>
    <cellStyle name="SAPBEXHLevel0" xfId="527" xr:uid="{00000000-0005-0000-0000-0000BA020000}"/>
    <cellStyle name="SAPBEXHLevel0X" xfId="528" xr:uid="{00000000-0005-0000-0000-0000BB020000}"/>
    <cellStyle name="SAPBEXHLevel1" xfId="529" xr:uid="{00000000-0005-0000-0000-0000BC020000}"/>
    <cellStyle name="SAPBEXHLevel1X" xfId="530" xr:uid="{00000000-0005-0000-0000-0000BD020000}"/>
    <cellStyle name="SAPBEXHLevel2" xfId="531" xr:uid="{00000000-0005-0000-0000-0000BE020000}"/>
    <cellStyle name="SAPBEXHLevel2X" xfId="532" xr:uid="{00000000-0005-0000-0000-0000BF020000}"/>
    <cellStyle name="SAPBEXHLevel3" xfId="533" xr:uid="{00000000-0005-0000-0000-0000C0020000}"/>
    <cellStyle name="SAPBEXHLevel3X" xfId="534" xr:uid="{00000000-0005-0000-0000-0000C1020000}"/>
    <cellStyle name="SAPBEXresData" xfId="535" xr:uid="{00000000-0005-0000-0000-0000C2020000}"/>
    <cellStyle name="SAPBEXresDataEmph" xfId="536" xr:uid="{00000000-0005-0000-0000-0000C3020000}"/>
    <cellStyle name="SAPBEXresItem" xfId="537" xr:uid="{00000000-0005-0000-0000-0000C4020000}"/>
    <cellStyle name="SAPBEXresItemX" xfId="538" xr:uid="{00000000-0005-0000-0000-0000C5020000}"/>
    <cellStyle name="SAPBEXstdData" xfId="539" xr:uid="{00000000-0005-0000-0000-0000C6020000}"/>
    <cellStyle name="SAPBEXstdDataEmph" xfId="540" xr:uid="{00000000-0005-0000-0000-0000C7020000}"/>
    <cellStyle name="SAPBEXstdItem" xfId="541" xr:uid="{00000000-0005-0000-0000-0000C8020000}"/>
    <cellStyle name="SAPBEXstdItemX" xfId="542" xr:uid="{00000000-0005-0000-0000-0000C9020000}"/>
    <cellStyle name="SAPBEXtitle" xfId="543" xr:uid="{00000000-0005-0000-0000-0000CA020000}"/>
    <cellStyle name="SAPBEXundefined" xfId="544" xr:uid="{00000000-0005-0000-0000-0000CB020000}"/>
    <cellStyle name="Stil 1" xfId="190" xr:uid="{00000000-0005-0000-0000-0000CC020000}"/>
    <cellStyle name="Style 1" xfId="450" xr:uid="{00000000-0005-0000-0000-0000CD020000}"/>
    <cellStyle name="Sub-total row" xfId="45" xr:uid="{00000000-0005-0000-0000-0000CE020000}"/>
    <cellStyle name="Sub-total row 2" xfId="132" xr:uid="{00000000-0005-0000-0000-0000CF020000}"/>
    <cellStyle name="Table finish row" xfId="46" xr:uid="{00000000-0005-0000-0000-0000D0020000}"/>
    <cellStyle name="Table finish row 2" xfId="133" xr:uid="{00000000-0005-0000-0000-0000D1020000}"/>
    <cellStyle name="Table shading" xfId="47" xr:uid="{00000000-0005-0000-0000-0000D2020000}"/>
    <cellStyle name="Table shading 2" xfId="134" xr:uid="{00000000-0005-0000-0000-0000D3020000}"/>
    <cellStyle name="Table unfinish row" xfId="48" xr:uid="{00000000-0005-0000-0000-0000D4020000}"/>
    <cellStyle name="Table unfinish row 2" xfId="135" xr:uid="{00000000-0005-0000-0000-0000D5020000}"/>
    <cellStyle name="Table unshading" xfId="49" xr:uid="{00000000-0005-0000-0000-0000D6020000}"/>
    <cellStyle name="Text" xfId="50" xr:uid="{00000000-0005-0000-0000-0000D7020000}"/>
    <cellStyle name="Tittel" xfId="58" builtinId="15" customBuiltin="1"/>
    <cellStyle name="Total 2" xfId="141" xr:uid="{00000000-0005-0000-0000-0000D9020000}"/>
    <cellStyle name="Total 2 2" xfId="449" xr:uid="{00000000-0005-0000-0000-0000DA020000}"/>
    <cellStyle name="Total row" xfId="52" xr:uid="{00000000-0005-0000-0000-0000DB020000}"/>
    <cellStyle name="Total row 2" xfId="136" xr:uid="{00000000-0005-0000-0000-0000DC020000}"/>
    <cellStyle name="Totalt" xfId="51" builtinId="25" customBuiltin="1"/>
    <cellStyle name="Tusenskille 2" xfId="191" xr:uid="{00000000-0005-0000-0000-0000DE020000}"/>
    <cellStyle name="Tusenskille 2 2" xfId="662" xr:uid="{00000000-0005-0000-0000-0000DF020000}"/>
    <cellStyle name="Tusenskille 3" xfId="192" xr:uid="{00000000-0005-0000-0000-0000E0020000}"/>
    <cellStyle name="Tusenskille 3 2" xfId="663" xr:uid="{00000000-0005-0000-0000-0000E1020000}"/>
    <cellStyle name="Unhighlight" xfId="53" xr:uid="{00000000-0005-0000-0000-0000E2020000}"/>
    <cellStyle name="Unhighlight 2" xfId="137" xr:uid="{00000000-0005-0000-0000-0000E3020000}"/>
    <cellStyle name="Untotal row" xfId="54" xr:uid="{00000000-0005-0000-0000-0000E4020000}"/>
    <cellStyle name="Untotal row 2" xfId="138" xr:uid="{00000000-0005-0000-0000-0000E5020000}"/>
    <cellStyle name="Utdata" xfId="40" builtinId="21" customBuiltin="1"/>
    <cellStyle name="Utdata 2" xfId="152" xr:uid="{00000000-0005-0000-0000-0000E7020000}"/>
    <cellStyle name="Uthevingsfarge1" xfId="71" builtinId="29" customBuiltin="1"/>
    <cellStyle name="Uthevingsfarge2" xfId="75" builtinId="33" customBuiltin="1"/>
    <cellStyle name="Uthevingsfarge3" xfId="79" builtinId="37" customBuiltin="1"/>
    <cellStyle name="Uthevingsfarge4" xfId="83" builtinId="41" customBuiltin="1"/>
    <cellStyle name="Uthevingsfarge5" xfId="87" builtinId="45" customBuiltin="1"/>
    <cellStyle name="Uthevingsfarge6" xfId="91" builtinId="49" customBuiltin="1"/>
    <cellStyle name="Valuta" xfId="7" builtinId="4"/>
    <cellStyle name="Varseltekst" xfId="69" builtinId="11" customBuiltin="1"/>
    <cellStyle name="Walutowy [0]_PLDT" xfId="193" xr:uid="{00000000-0005-0000-0000-0000F0020000}"/>
    <cellStyle name="Walutowy_PLDT" xfId="194" xr:uid="{00000000-0005-0000-0000-0000F1020000}"/>
  </cellStyles>
  <dxfs count="12">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FF0000"/>
        </patternFill>
      </fill>
    </dxf>
    <dxf>
      <font>
        <b/>
        <i val="0"/>
        <color theme="0"/>
      </font>
      <fill>
        <patternFill>
          <bgColor rgb="FF00B0F0"/>
        </patternFill>
      </fill>
    </dxf>
    <dxf>
      <font>
        <b/>
        <i val="0"/>
        <color theme="0"/>
      </font>
      <fill>
        <patternFill>
          <bgColor rgb="FFFF000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000000"/>
      <color rgb="FFFFFAB3"/>
      <color rgb="FFFFFF00"/>
      <color rgb="FF00FF00"/>
      <color rgb="FF221F72"/>
      <color rgb="FFC4D0E9"/>
      <color rgb="FFFFFFFF"/>
      <color rgb="FFFFE0A0"/>
      <color rgb="FFC4123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130175</xdr:colOff>
      <xdr:row>0</xdr:row>
      <xdr:rowOff>419100</xdr:rowOff>
    </xdr:to>
    <xdr:pic>
      <xdr:nvPicPr>
        <xdr:cNvPr id="2" name="Picture 1">
          <a:extLst>
            <a:ext uri="{FF2B5EF4-FFF2-40B4-BE49-F238E27FC236}">
              <a16:creationId xmlns:a16="http://schemas.microsoft.com/office/drawing/2014/main" id="{E3F9389C-E70B-4888-A39B-6D22BE967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19685</xdr:colOff>
      <xdr:row>1</xdr:row>
      <xdr:rowOff>0</xdr:rowOff>
    </xdr:to>
    <xdr:pic>
      <xdr:nvPicPr>
        <xdr:cNvPr id="2" name="Picture 14" descr="P:\projects\EG011\WP\EG011040\AnalysysMason2.png">
          <a:extLst>
            <a:ext uri="{FF2B5EF4-FFF2-40B4-BE49-F238E27FC236}">
              <a16:creationId xmlns:a16="http://schemas.microsoft.com/office/drawing/2014/main" id="{066A99D9-A608-4F05-B409-9AD308951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700"/>
          <a:ext cx="1117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137160</xdr:colOff>
      <xdr:row>1</xdr:row>
      <xdr:rowOff>0</xdr:rowOff>
    </xdr:to>
    <xdr:pic>
      <xdr:nvPicPr>
        <xdr:cNvPr id="3" name="Picture 2">
          <a:extLst>
            <a:ext uri="{FF2B5EF4-FFF2-40B4-BE49-F238E27FC236}">
              <a16:creationId xmlns:a16="http://schemas.microsoft.com/office/drawing/2014/main" id="{69F7478F-62A4-4963-9269-F80F81CA0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0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1063625</xdr:colOff>
      <xdr:row>0</xdr:row>
      <xdr:rowOff>419100</xdr:rowOff>
    </xdr:to>
    <xdr:pic>
      <xdr:nvPicPr>
        <xdr:cNvPr id="2" name="Picture 2">
          <a:extLst>
            <a:ext uri="{FF2B5EF4-FFF2-40B4-BE49-F238E27FC236}">
              <a16:creationId xmlns:a16="http://schemas.microsoft.com/office/drawing/2014/main" id="{B29A2D50-7D5D-44A7-98B2-E5D5A310E6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92393</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55F0E06D-B79F-486D-8148-10A310981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ssb.no/en/priser-og-prisindekser/statistikker/kpi/maan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pageSetUpPr autoPageBreaks="0"/>
  </sheetPr>
  <dimension ref="A1:D36"/>
  <sheetViews>
    <sheetView showGridLines="0" defaultGridColor="0" colorId="22" zoomScaleNormal="100" zoomScaleSheetLayoutView="75" workbookViewId="0">
      <pane ySplit="18" topLeftCell="A19" activePane="bottomLeft" state="frozen"/>
      <selection pane="bottomLeft"/>
    </sheetView>
  </sheetViews>
  <sheetFormatPr baseColWidth="10" defaultColWidth="12.69921875" defaultRowHeight="11.5"/>
  <cols>
    <col min="1" max="1" width="16.69921875" style="60" customWidth="1"/>
    <col min="2" max="2" width="45.59765625" style="60" bestFit="1" customWidth="1"/>
    <col min="3" max="3" width="16.69921875" style="60" customWidth="1"/>
    <col min="4" max="4" width="7.69921875" style="60" bestFit="1" customWidth="1"/>
  </cols>
  <sheetData>
    <row r="1" spans="1:4" s="71" customFormat="1" ht="33.75" customHeight="1">
      <c r="C1" s="79" t="s">
        <v>103</v>
      </c>
    </row>
    <row r="2" spans="1:4" s="72" customFormat="1" ht="12" customHeight="1"/>
    <row r="3" spans="1:4" ht="18">
      <c r="A3" s="56" t="s">
        <v>98</v>
      </c>
      <c r="B3"/>
      <c r="C3"/>
      <c r="D3"/>
    </row>
    <row r="4" spans="1:4" ht="6" customHeight="1">
      <c r="A4"/>
      <c r="B4"/>
      <c r="C4"/>
      <c r="D4"/>
    </row>
    <row r="5" spans="1:4">
      <c r="A5" s="57" t="s">
        <v>95</v>
      </c>
      <c r="B5" s="69" t="s">
        <v>249</v>
      </c>
      <c r="C5"/>
      <c r="D5"/>
    </row>
    <row r="6" spans="1:4">
      <c r="A6" s="57" t="s">
        <v>94</v>
      </c>
      <c r="B6" s="69" t="s">
        <v>251</v>
      </c>
      <c r="C6"/>
      <c r="D6"/>
    </row>
    <row r="7" spans="1:4" ht="6" customHeight="1">
      <c r="A7"/>
      <c r="B7"/>
      <c r="C7"/>
      <c r="D7"/>
    </row>
    <row r="8" spans="1:4">
      <c r="A8" s="57" t="s">
        <v>93</v>
      </c>
      <c r="B8" s="69" t="s">
        <v>906</v>
      </c>
      <c r="C8"/>
      <c r="D8"/>
    </row>
    <row r="9" spans="1:4">
      <c r="A9" s="57" t="s">
        <v>2</v>
      </c>
      <c r="B9" s="60" t="s">
        <v>101</v>
      </c>
      <c r="C9"/>
      <c r="D9"/>
    </row>
    <row r="10" spans="1:4" hidden="1">
      <c r="A10" s="57"/>
      <c r="B10" s="60" t="s">
        <v>100</v>
      </c>
      <c r="C10"/>
      <c r="D10"/>
    </row>
    <row r="11" spans="1:4" hidden="1">
      <c r="A11" s="57"/>
      <c r="B11" s="60" t="s">
        <v>99</v>
      </c>
      <c r="C11"/>
      <c r="D11"/>
    </row>
    <row r="12" spans="1:4" hidden="1">
      <c r="A12" s="57"/>
      <c r="B12" s="60" t="s">
        <v>122</v>
      </c>
      <c r="C12"/>
      <c r="D12"/>
    </row>
    <row r="13" spans="1:4" hidden="1">
      <c r="A13" s="57"/>
      <c r="B13" s="60" t="s">
        <v>101</v>
      </c>
      <c r="C13"/>
      <c r="D13"/>
    </row>
    <row r="14" spans="1:4">
      <c r="A14" s="57" t="s">
        <v>97</v>
      </c>
      <c r="B14" s="69" t="s">
        <v>252</v>
      </c>
      <c r="C14"/>
      <c r="D14"/>
    </row>
    <row r="15" spans="1:4" ht="6" customHeight="1">
      <c r="A15" s="57"/>
      <c r="B15" s="69"/>
      <c r="C15"/>
      <c r="D15"/>
    </row>
    <row r="16" spans="1:4" ht="18">
      <c r="A16" s="56" t="s">
        <v>103</v>
      </c>
      <c r="B16"/>
      <c r="C16"/>
      <c r="D16"/>
    </row>
    <row r="17" spans="1:4" ht="6" customHeight="1">
      <c r="A17"/>
      <c r="B17"/>
      <c r="C17"/>
      <c r="D17"/>
    </row>
    <row r="18" spans="1:4" ht="15.5">
      <c r="A18" s="3" t="s">
        <v>0</v>
      </c>
      <c r="B18" s="3" t="s">
        <v>1</v>
      </c>
      <c r="C18" s="3" t="s">
        <v>2</v>
      </c>
      <c r="D18" s="3" t="s">
        <v>3</v>
      </c>
    </row>
    <row r="19" spans="1:4">
      <c r="A19" s="60" t="s">
        <v>123</v>
      </c>
      <c r="B19" s="60" t="s">
        <v>105</v>
      </c>
      <c r="C19" s="60" t="s">
        <v>101</v>
      </c>
    </row>
    <row r="20" spans="1:4">
      <c r="A20" s="60" t="s">
        <v>545</v>
      </c>
      <c r="B20" s="60" t="s">
        <v>546</v>
      </c>
      <c r="C20" s="60" t="s">
        <v>101</v>
      </c>
    </row>
    <row r="21" spans="1:4">
      <c r="A21" s="60" t="s">
        <v>124</v>
      </c>
      <c r="B21" s="60" t="s">
        <v>104</v>
      </c>
      <c r="C21" s="60" t="s">
        <v>101</v>
      </c>
    </row>
    <row r="22" spans="1:4">
      <c r="A22" s="248" t="s">
        <v>138</v>
      </c>
      <c r="B22" s="69" t="s">
        <v>579</v>
      </c>
      <c r="C22" s="60" t="s">
        <v>101</v>
      </c>
    </row>
    <row r="23" spans="1:4">
      <c r="A23" s="249" t="s">
        <v>563</v>
      </c>
      <c r="B23" s="69" t="s">
        <v>574</v>
      </c>
      <c r="C23" s="60" t="s">
        <v>101</v>
      </c>
    </row>
    <row r="24" spans="1:4">
      <c r="A24" s="249" t="s">
        <v>565</v>
      </c>
      <c r="B24" s="69" t="s">
        <v>575</v>
      </c>
      <c r="C24" s="60" t="s">
        <v>101</v>
      </c>
    </row>
    <row r="25" spans="1:4">
      <c r="A25" s="249" t="s">
        <v>566</v>
      </c>
      <c r="B25" s="69" t="s">
        <v>576</v>
      </c>
      <c r="C25" s="60" t="s">
        <v>101</v>
      </c>
    </row>
    <row r="26" spans="1:4">
      <c r="A26" s="249" t="s">
        <v>567</v>
      </c>
      <c r="B26" s="69" t="s">
        <v>577</v>
      </c>
      <c r="C26" s="60" t="s">
        <v>101</v>
      </c>
    </row>
    <row r="27" spans="1:4">
      <c r="A27" s="249" t="s">
        <v>568</v>
      </c>
      <c r="B27" s="69" t="s">
        <v>623</v>
      </c>
      <c r="C27" s="60" t="s">
        <v>101</v>
      </c>
    </row>
    <row r="28" spans="1:4">
      <c r="A28" s="250" t="s">
        <v>564</v>
      </c>
      <c r="B28" s="69" t="s">
        <v>578</v>
      </c>
      <c r="C28" s="60" t="s">
        <v>101</v>
      </c>
    </row>
    <row r="29" spans="1:4">
      <c r="A29" s="250" t="s">
        <v>198</v>
      </c>
      <c r="B29" s="69" t="s">
        <v>580</v>
      </c>
      <c r="C29" s="60" t="s">
        <v>101</v>
      </c>
    </row>
    <row r="30" spans="1:4">
      <c r="A30" s="250" t="s">
        <v>569</v>
      </c>
      <c r="B30" s="69" t="s">
        <v>581</v>
      </c>
      <c r="C30" s="60" t="s">
        <v>101</v>
      </c>
    </row>
    <row r="31" spans="1:4">
      <c r="A31" s="250" t="s">
        <v>570</v>
      </c>
      <c r="B31" s="69" t="s">
        <v>582</v>
      </c>
      <c r="C31" s="60" t="s">
        <v>101</v>
      </c>
    </row>
    <row r="32" spans="1:4">
      <c r="A32" s="250" t="s">
        <v>571</v>
      </c>
      <c r="B32" s="69" t="s">
        <v>583</v>
      </c>
      <c r="C32" s="60" t="s">
        <v>101</v>
      </c>
    </row>
    <row r="33" spans="1:4">
      <c r="A33" s="76"/>
      <c r="B33" s="76"/>
      <c r="C33" s="76"/>
      <c r="D33" s="76"/>
    </row>
    <row r="34" spans="1:4">
      <c r="A34" s="244"/>
      <c r="B34" s="244"/>
      <c r="C34" s="244"/>
      <c r="D34" s="244"/>
    </row>
    <row r="36" spans="1:4" s="60" customFormat="1"/>
  </sheetData>
  <dataValidations disablePrompts="1" count="1">
    <dataValidation type="list" allowBlank="1" sqref="B9 C19:C32" xr:uid="{00000000-0002-0000-0000-000000000000}">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pageSetUpPr autoPageBreaks="0"/>
  </sheetPr>
  <dimension ref="A1:W470"/>
  <sheetViews>
    <sheetView showGridLines="0" defaultGridColor="0" colorId="22" zoomScaleNormal="100" workbookViewId="0">
      <pane xSplit="5" ySplit="1" topLeftCell="F2" activePane="bottomRight" state="frozen"/>
      <selection pane="topRight"/>
      <selection pane="bottomLeft"/>
      <selection pane="bottomRight"/>
    </sheetView>
  </sheetViews>
  <sheetFormatPr baseColWidth="10" defaultColWidth="12.69921875" defaultRowHeight="11.5" outlineLevelRow="2"/>
  <cols>
    <col min="1" max="1" width="6.69921875" customWidth="1"/>
    <col min="2" max="2" width="4.3984375" customWidth="1"/>
    <col min="3" max="3" width="28.3984375" customWidth="1"/>
    <col min="5" max="5" width="17.8984375" customWidth="1"/>
    <col min="7" max="7" width="12.69921875" customWidth="1"/>
    <col min="9" max="9" width="15" customWidth="1"/>
    <col min="21" max="21" width="12.69921875" customWidth="1"/>
    <col min="23" max="23" width="13.59765625" customWidth="1"/>
  </cols>
  <sheetData>
    <row r="1" spans="1:20" s="84" customFormat="1" ht="33.75" customHeight="1">
      <c r="D1" s="84" t="s">
        <v>467</v>
      </c>
    </row>
    <row r="3" spans="1:20" s="220" customFormat="1">
      <c r="A3" s="220">
        <v>1</v>
      </c>
      <c r="B3" s="221" t="str">
        <f>INDEX(segments,A3)</f>
        <v>Residential</v>
      </c>
      <c r="C3" s="207"/>
    </row>
    <row r="4" spans="1:20" outlineLevel="1"/>
    <row r="5" spans="1:20" outlineLevel="1">
      <c r="C5" s="35" t="s">
        <v>466</v>
      </c>
      <c r="G5" s="66" t="s">
        <v>162</v>
      </c>
      <c r="H5" s="66"/>
      <c r="I5" s="66"/>
      <c r="J5" s="66"/>
      <c r="K5" s="66"/>
      <c r="L5" s="66"/>
      <c r="O5" s="66" t="s">
        <v>164</v>
      </c>
      <c r="P5" s="66"/>
      <c r="Q5" s="66"/>
      <c r="R5" s="66"/>
      <c r="S5" s="66"/>
      <c r="T5" s="66"/>
    </row>
    <row r="6" spans="1:20" ht="22.5" customHeight="1" outlineLevel="1">
      <c r="C6" s="1" t="s">
        <v>309</v>
      </c>
      <c r="G6" s="1" t="str">
        <f t="array" ref="G6:L6">TRANSPOSE(voice.destination)</f>
        <v>On-net</v>
      </c>
      <c r="H6" s="1" t="str">
        <v>Off-net fixed</v>
      </c>
      <c r="I6" s="1" t="str">
        <v>Off-net mobile</v>
      </c>
      <c r="J6" s="1" t="str">
        <v>International</v>
      </c>
      <c r="K6" s="1" t="str">
        <v>VAS</v>
      </c>
      <c r="L6" s="1" t="str">
        <v>Not used</v>
      </c>
      <c r="O6" s="1" t="str">
        <f t="array" ref="O6:T6">TRANSPOSE(voice.destination)</f>
        <v>On-net</v>
      </c>
      <c r="P6" s="1" t="str">
        <v>Off-net fixed</v>
      </c>
      <c r="Q6" s="1" t="str">
        <v>Off-net mobile</v>
      </c>
      <c r="R6" s="1" t="str">
        <v>International</v>
      </c>
      <c r="S6" s="1" t="str">
        <v>VAS</v>
      </c>
      <c r="T6" s="1" t="str">
        <v>Not used</v>
      </c>
    </row>
    <row r="7" spans="1:20" outlineLevel="1">
      <c r="C7" s="73" t="str">
        <f t="array" ref="C7:C41">offers.segment.1</f>
        <v>SpareOfferA1</v>
      </c>
      <c r="E7" t="s">
        <v>163</v>
      </c>
      <c r="G7" s="81">
        <f t="array" ref="G7">SUM(distribution.outgoing.voice.by.destination*(offers.segment.all=$C7)*(TRANSPOSE(voice.destination.domestic)=G$6))</f>
        <v>0</v>
      </c>
      <c r="H7" s="81">
        <f t="array" ref="H7">SUM(distribution.outgoing.voice.by.destination*(offers.segment.all=$C7)*(TRANSPOSE(voice.destination.domestic)=H$6))</f>
        <v>0</v>
      </c>
      <c r="I7" s="81">
        <f t="array" ref="I7">SUM(distribution.outgoing.voice.by.destination*(offers.segment.all=$C7)*(TRANSPOSE(voice.destination.domestic)=I$6))</f>
        <v>0</v>
      </c>
      <c r="J7" s="81">
        <f t="array" ref="J7">SUM(distribution.outgoing.voice.by.destination*(offers.segment.all=$C7)*(TRANSPOSE(voice.destination.domestic)=J$6))</f>
        <v>0</v>
      </c>
      <c r="K7" s="81">
        <f t="array" ref="K7">SUM(distribution.outgoing.voice.by.destination*(offers.segment.all=$C7)*(TRANSPOSE(voice.destination.domestic)=K$6))</f>
        <v>0</v>
      </c>
      <c r="L7" s="81">
        <f t="array" ref="L7">SUM(distribution.outgoing.voice.by.destination*(offers.segment.all=$C7)*(TRANSPOSE(voice.destination.domestic)=L$6))</f>
        <v>0</v>
      </c>
      <c r="O7" s="169">
        <f t="shared" ref="O7:O41" si="0">IF(SUM($G7,$I7)=0, 0, G7/SUM($G7,$I7))</f>
        <v>0</v>
      </c>
      <c r="P7" s="103">
        <v>0</v>
      </c>
      <c r="Q7" s="169">
        <f t="shared" ref="Q7:Q41" si="1">IF(SUM($G7,$I7)=0, 0, I7/SUM($G7,$I7))</f>
        <v>0</v>
      </c>
      <c r="R7" s="103">
        <v>0</v>
      </c>
      <c r="S7" s="103">
        <v>0</v>
      </c>
      <c r="T7" s="103">
        <v>0</v>
      </c>
    </row>
    <row r="8" spans="1:20" hidden="1" outlineLevel="2">
      <c r="C8" s="73" t="str">
        <v>SpareOfferA2</v>
      </c>
      <c r="E8" t="s">
        <v>163</v>
      </c>
      <c r="G8" s="81">
        <f t="array" ref="G8">SUM(distribution.outgoing.voice.by.destination*(offers.segment.all=$C8)*(TRANSPOSE(voice.destination.domestic)=G$6))</f>
        <v>0</v>
      </c>
      <c r="H8" s="81">
        <f t="array" ref="H8">SUM(distribution.outgoing.voice.by.destination*(offers.segment.all=$C8)*(TRANSPOSE(voice.destination.domestic)=H$6))</f>
        <v>0</v>
      </c>
      <c r="I8" s="81">
        <f t="array" ref="I8">SUM(distribution.outgoing.voice.by.destination*(offers.segment.all=$C8)*(TRANSPOSE(voice.destination.domestic)=I$6))</f>
        <v>0</v>
      </c>
      <c r="J8" s="81">
        <f t="array" ref="J8">SUM(distribution.outgoing.voice.by.destination*(offers.segment.all=$C8)*(TRANSPOSE(voice.destination.domestic)=J$6))</f>
        <v>0</v>
      </c>
      <c r="K8" s="81">
        <f t="array" ref="K8">SUM(distribution.outgoing.voice.by.destination*(offers.segment.all=$C8)*(TRANSPOSE(voice.destination.domestic)=K$6))</f>
        <v>0</v>
      </c>
      <c r="L8" s="81">
        <f t="array" ref="L8">SUM(distribution.outgoing.voice.by.destination*(offers.segment.all=$C8)*(TRANSPOSE(voice.destination.domestic)=L$6))</f>
        <v>0</v>
      </c>
      <c r="O8" s="169">
        <f t="shared" si="0"/>
        <v>0</v>
      </c>
      <c r="P8" s="103">
        <v>0</v>
      </c>
      <c r="Q8" s="169">
        <f t="shared" si="1"/>
        <v>0</v>
      </c>
      <c r="R8" s="103">
        <v>0</v>
      </c>
      <c r="S8" s="103">
        <v>0</v>
      </c>
      <c r="T8" s="103">
        <v>0</v>
      </c>
    </row>
    <row r="9" spans="1:20" hidden="1" outlineLevel="2">
      <c r="C9" s="73" t="str">
        <v>SpareOfferA3</v>
      </c>
      <c r="E9" t="s">
        <v>163</v>
      </c>
      <c r="G9" s="81">
        <f t="array" ref="G9">SUM(distribution.outgoing.voice.by.destination*(offers.segment.all=$C9)*(TRANSPOSE(voice.destination.domestic)=G$6))</f>
        <v>0</v>
      </c>
      <c r="H9" s="81">
        <f t="array" ref="H9">SUM(distribution.outgoing.voice.by.destination*(offers.segment.all=$C9)*(TRANSPOSE(voice.destination.domestic)=H$6))</f>
        <v>0</v>
      </c>
      <c r="I9" s="81">
        <f t="array" ref="I9">SUM(distribution.outgoing.voice.by.destination*(offers.segment.all=$C9)*(TRANSPOSE(voice.destination.domestic)=I$6))</f>
        <v>0</v>
      </c>
      <c r="J9" s="81">
        <f t="array" ref="J9">SUM(distribution.outgoing.voice.by.destination*(offers.segment.all=$C9)*(TRANSPOSE(voice.destination.domestic)=J$6))</f>
        <v>0</v>
      </c>
      <c r="K9" s="81">
        <f t="array" ref="K9">SUM(distribution.outgoing.voice.by.destination*(offers.segment.all=$C9)*(TRANSPOSE(voice.destination.domestic)=K$6))</f>
        <v>0</v>
      </c>
      <c r="L9" s="81">
        <f t="array" ref="L9">SUM(distribution.outgoing.voice.by.destination*(offers.segment.all=$C9)*(TRANSPOSE(voice.destination.domestic)=L$6))</f>
        <v>0</v>
      </c>
      <c r="O9" s="169">
        <f t="shared" si="0"/>
        <v>0</v>
      </c>
      <c r="P9" s="103">
        <v>0</v>
      </c>
      <c r="Q9" s="169">
        <f t="shared" si="1"/>
        <v>0</v>
      </c>
      <c r="R9" s="103">
        <v>0</v>
      </c>
      <c r="S9" s="103">
        <v>0</v>
      </c>
      <c r="T9" s="103">
        <v>0</v>
      </c>
    </row>
    <row r="10" spans="1:20" hidden="1" outlineLevel="2">
      <c r="C10" s="73" t="str">
        <v>SpareOfferA4</v>
      </c>
      <c r="E10" t="s">
        <v>163</v>
      </c>
      <c r="G10" s="81">
        <f t="array" ref="G10">SUM(distribution.outgoing.voice.by.destination*(offers.segment.all=$C10)*(TRANSPOSE(voice.destination.domestic)=G$6))</f>
        <v>0</v>
      </c>
      <c r="H10" s="81">
        <f t="array" ref="H10">SUM(distribution.outgoing.voice.by.destination*(offers.segment.all=$C10)*(TRANSPOSE(voice.destination.domestic)=H$6))</f>
        <v>0</v>
      </c>
      <c r="I10" s="81">
        <f t="array" ref="I10">SUM(distribution.outgoing.voice.by.destination*(offers.segment.all=$C10)*(TRANSPOSE(voice.destination.domestic)=I$6))</f>
        <v>0</v>
      </c>
      <c r="J10" s="81">
        <f t="array" ref="J10">SUM(distribution.outgoing.voice.by.destination*(offers.segment.all=$C10)*(TRANSPOSE(voice.destination.domestic)=J$6))</f>
        <v>0</v>
      </c>
      <c r="K10" s="81">
        <f t="array" ref="K10">SUM(distribution.outgoing.voice.by.destination*(offers.segment.all=$C10)*(TRANSPOSE(voice.destination.domestic)=K$6))</f>
        <v>0</v>
      </c>
      <c r="L10" s="81">
        <f t="array" ref="L10">SUM(distribution.outgoing.voice.by.destination*(offers.segment.all=$C10)*(TRANSPOSE(voice.destination.domestic)=L$6))</f>
        <v>0</v>
      </c>
      <c r="O10" s="169">
        <f t="shared" si="0"/>
        <v>0</v>
      </c>
      <c r="P10" s="103">
        <v>0</v>
      </c>
      <c r="Q10" s="169">
        <f t="shared" si="1"/>
        <v>0</v>
      </c>
      <c r="R10" s="103">
        <v>0</v>
      </c>
      <c r="S10" s="103">
        <v>0</v>
      </c>
      <c r="T10" s="103">
        <v>0</v>
      </c>
    </row>
    <row r="11" spans="1:20" hidden="1" outlineLevel="2">
      <c r="C11" s="73" t="str">
        <v>SpareOfferA5</v>
      </c>
      <c r="E11" t="s">
        <v>163</v>
      </c>
      <c r="G11" s="81">
        <f t="array" ref="G11">SUM(distribution.outgoing.voice.by.destination*(offers.segment.all=$C11)*(TRANSPOSE(voice.destination.domestic)=G$6))</f>
        <v>0</v>
      </c>
      <c r="H11" s="81">
        <f t="array" ref="H11">SUM(distribution.outgoing.voice.by.destination*(offers.segment.all=$C11)*(TRANSPOSE(voice.destination.domestic)=H$6))</f>
        <v>0</v>
      </c>
      <c r="I11" s="81">
        <f t="array" ref="I11">SUM(distribution.outgoing.voice.by.destination*(offers.segment.all=$C11)*(TRANSPOSE(voice.destination.domestic)=I$6))</f>
        <v>0</v>
      </c>
      <c r="J11" s="81">
        <f t="array" ref="J11">SUM(distribution.outgoing.voice.by.destination*(offers.segment.all=$C11)*(TRANSPOSE(voice.destination.domestic)=J$6))</f>
        <v>0</v>
      </c>
      <c r="K11" s="81">
        <f t="array" ref="K11">SUM(distribution.outgoing.voice.by.destination*(offers.segment.all=$C11)*(TRANSPOSE(voice.destination.domestic)=K$6))</f>
        <v>0</v>
      </c>
      <c r="L11" s="81">
        <f t="array" ref="L11">SUM(distribution.outgoing.voice.by.destination*(offers.segment.all=$C11)*(TRANSPOSE(voice.destination.domestic)=L$6))</f>
        <v>0</v>
      </c>
      <c r="O11" s="169">
        <f t="shared" si="0"/>
        <v>0</v>
      </c>
      <c r="P11" s="103">
        <v>0</v>
      </c>
      <c r="Q11" s="169">
        <f t="shared" si="1"/>
        <v>0</v>
      </c>
      <c r="R11" s="103">
        <v>0</v>
      </c>
      <c r="S11" s="103">
        <v>0</v>
      </c>
      <c r="T11" s="103">
        <v>0</v>
      </c>
    </row>
    <row r="12" spans="1:20" hidden="1" outlineLevel="2">
      <c r="C12" s="73" t="str">
        <v>SpareOfferA6</v>
      </c>
      <c r="E12" t="s">
        <v>163</v>
      </c>
      <c r="G12" s="81">
        <f t="array" ref="G12">SUM(distribution.outgoing.voice.by.destination*(offers.segment.all=$C12)*(TRANSPOSE(voice.destination.domestic)=G$6))</f>
        <v>0</v>
      </c>
      <c r="H12" s="81">
        <f t="array" ref="H12">SUM(distribution.outgoing.voice.by.destination*(offers.segment.all=$C12)*(TRANSPOSE(voice.destination.domestic)=H$6))</f>
        <v>0</v>
      </c>
      <c r="I12" s="81">
        <f t="array" ref="I12">SUM(distribution.outgoing.voice.by.destination*(offers.segment.all=$C12)*(TRANSPOSE(voice.destination.domestic)=I$6))</f>
        <v>0</v>
      </c>
      <c r="J12" s="81">
        <f t="array" ref="J12">SUM(distribution.outgoing.voice.by.destination*(offers.segment.all=$C12)*(TRANSPOSE(voice.destination.domestic)=J$6))</f>
        <v>0</v>
      </c>
      <c r="K12" s="81">
        <f t="array" ref="K12">SUM(distribution.outgoing.voice.by.destination*(offers.segment.all=$C12)*(TRANSPOSE(voice.destination.domestic)=K$6))</f>
        <v>0</v>
      </c>
      <c r="L12" s="81">
        <f t="array" ref="L12">SUM(distribution.outgoing.voice.by.destination*(offers.segment.all=$C12)*(TRANSPOSE(voice.destination.domestic)=L$6))</f>
        <v>0</v>
      </c>
      <c r="O12" s="169">
        <f t="shared" si="0"/>
        <v>0</v>
      </c>
      <c r="P12" s="103">
        <v>0</v>
      </c>
      <c r="Q12" s="169">
        <f t="shared" si="1"/>
        <v>0</v>
      </c>
      <c r="R12" s="103">
        <v>0</v>
      </c>
      <c r="S12" s="103">
        <v>0</v>
      </c>
      <c r="T12" s="103">
        <v>0</v>
      </c>
    </row>
    <row r="13" spans="1:20" hidden="1" outlineLevel="2">
      <c r="C13" s="73" t="str">
        <v>SpareOfferA7</v>
      </c>
      <c r="E13" t="s">
        <v>163</v>
      </c>
      <c r="G13" s="81">
        <f t="array" ref="G13">SUM(distribution.outgoing.voice.by.destination*(offers.segment.all=$C13)*(TRANSPOSE(voice.destination.domestic)=G$6))</f>
        <v>0</v>
      </c>
      <c r="H13" s="81">
        <f t="array" ref="H13">SUM(distribution.outgoing.voice.by.destination*(offers.segment.all=$C13)*(TRANSPOSE(voice.destination.domestic)=H$6))</f>
        <v>0</v>
      </c>
      <c r="I13" s="81">
        <f t="array" ref="I13">SUM(distribution.outgoing.voice.by.destination*(offers.segment.all=$C13)*(TRANSPOSE(voice.destination.domestic)=I$6))</f>
        <v>0</v>
      </c>
      <c r="J13" s="81">
        <f t="array" ref="J13">SUM(distribution.outgoing.voice.by.destination*(offers.segment.all=$C13)*(TRANSPOSE(voice.destination.domestic)=J$6))</f>
        <v>0</v>
      </c>
      <c r="K13" s="81">
        <f t="array" ref="K13">SUM(distribution.outgoing.voice.by.destination*(offers.segment.all=$C13)*(TRANSPOSE(voice.destination.domestic)=K$6))</f>
        <v>0</v>
      </c>
      <c r="L13" s="81">
        <f t="array" ref="L13">SUM(distribution.outgoing.voice.by.destination*(offers.segment.all=$C13)*(TRANSPOSE(voice.destination.domestic)=L$6))</f>
        <v>0</v>
      </c>
      <c r="O13" s="169">
        <f t="shared" si="0"/>
        <v>0</v>
      </c>
      <c r="P13" s="103">
        <v>0</v>
      </c>
      <c r="Q13" s="169">
        <f t="shared" si="1"/>
        <v>0</v>
      </c>
      <c r="R13" s="103">
        <v>0</v>
      </c>
      <c r="S13" s="103">
        <v>0</v>
      </c>
      <c r="T13" s="103">
        <v>0</v>
      </c>
    </row>
    <row r="14" spans="1:20" hidden="1" outlineLevel="2">
      <c r="C14" s="73" t="str">
        <v>SpareOfferA8</v>
      </c>
      <c r="E14" t="s">
        <v>163</v>
      </c>
      <c r="G14" s="81">
        <f t="array" ref="G14">SUM(distribution.outgoing.voice.by.destination*(offers.segment.all=$C14)*(TRANSPOSE(voice.destination.domestic)=G$6))</f>
        <v>0</v>
      </c>
      <c r="H14" s="81">
        <f t="array" ref="H14">SUM(distribution.outgoing.voice.by.destination*(offers.segment.all=$C14)*(TRANSPOSE(voice.destination.domestic)=H$6))</f>
        <v>0</v>
      </c>
      <c r="I14" s="81">
        <f t="array" ref="I14">SUM(distribution.outgoing.voice.by.destination*(offers.segment.all=$C14)*(TRANSPOSE(voice.destination.domestic)=I$6))</f>
        <v>0</v>
      </c>
      <c r="J14" s="81">
        <f t="array" ref="J14">SUM(distribution.outgoing.voice.by.destination*(offers.segment.all=$C14)*(TRANSPOSE(voice.destination.domestic)=J$6))</f>
        <v>0</v>
      </c>
      <c r="K14" s="81">
        <f t="array" ref="K14">SUM(distribution.outgoing.voice.by.destination*(offers.segment.all=$C14)*(TRANSPOSE(voice.destination.domestic)=K$6))</f>
        <v>0</v>
      </c>
      <c r="L14" s="81">
        <f t="array" ref="L14">SUM(distribution.outgoing.voice.by.destination*(offers.segment.all=$C14)*(TRANSPOSE(voice.destination.domestic)=L$6))</f>
        <v>0</v>
      </c>
      <c r="O14" s="169">
        <f t="shared" si="0"/>
        <v>0</v>
      </c>
      <c r="P14" s="103">
        <v>0</v>
      </c>
      <c r="Q14" s="169">
        <f t="shared" si="1"/>
        <v>0</v>
      </c>
      <c r="R14" s="103">
        <v>0</v>
      </c>
      <c r="S14" s="103">
        <v>0</v>
      </c>
      <c r="T14" s="103">
        <v>0</v>
      </c>
    </row>
    <row r="15" spans="1:20" hidden="1" outlineLevel="2">
      <c r="C15" s="73" t="str">
        <v>SpareOfferA9</v>
      </c>
      <c r="E15" t="s">
        <v>163</v>
      </c>
      <c r="G15" s="81">
        <f t="array" ref="G15">SUM(distribution.outgoing.voice.by.destination*(offers.segment.all=$C15)*(TRANSPOSE(voice.destination.domestic)=G$6))</f>
        <v>0</v>
      </c>
      <c r="H15" s="81">
        <f t="array" ref="H15">SUM(distribution.outgoing.voice.by.destination*(offers.segment.all=$C15)*(TRANSPOSE(voice.destination.domestic)=H$6))</f>
        <v>0</v>
      </c>
      <c r="I15" s="81">
        <f t="array" ref="I15">SUM(distribution.outgoing.voice.by.destination*(offers.segment.all=$C15)*(TRANSPOSE(voice.destination.domestic)=I$6))</f>
        <v>0</v>
      </c>
      <c r="J15" s="81">
        <f t="array" ref="J15">SUM(distribution.outgoing.voice.by.destination*(offers.segment.all=$C15)*(TRANSPOSE(voice.destination.domestic)=J$6))</f>
        <v>0</v>
      </c>
      <c r="K15" s="81">
        <f t="array" ref="K15">SUM(distribution.outgoing.voice.by.destination*(offers.segment.all=$C15)*(TRANSPOSE(voice.destination.domestic)=K$6))</f>
        <v>0</v>
      </c>
      <c r="L15" s="81">
        <f t="array" ref="L15">SUM(distribution.outgoing.voice.by.destination*(offers.segment.all=$C15)*(TRANSPOSE(voice.destination.domestic)=L$6))</f>
        <v>0</v>
      </c>
      <c r="O15" s="169">
        <f t="shared" si="0"/>
        <v>0</v>
      </c>
      <c r="P15" s="103">
        <v>0</v>
      </c>
      <c r="Q15" s="169">
        <f t="shared" si="1"/>
        <v>0</v>
      </c>
      <c r="R15" s="103">
        <v>0</v>
      </c>
      <c r="S15" s="103">
        <v>0</v>
      </c>
      <c r="T15" s="103">
        <v>0</v>
      </c>
    </row>
    <row r="16" spans="1:20" hidden="1" outlineLevel="2">
      <c r="C16" s="73" t="str">
        <v>SpareOfferA10</v>
      </c>
      <c r="E16" t="s">
        <v>163</v>
      </c>
      <c r="G16" s="81">
        <f t="array" ref="G16">SUM(distribution.outgoing.voice.by.destination*(offers.segment.all=$C16)*(TRANSPOSE(voice.destination.domestic)=G$6))</f>
        <v>0</v>
      </c>
      <c r="H16" s="81">
        <f t="array" ref="H16">SUM(distribution.outgoing.voice.by.destination*(offers.segment.all=$C16)*(TRANSPOSE(voice.destination.domestic)=H$6))</f>
        <v>0</v>
      </c>
      <c r="I16" s="81">
        <f t="array" ref="I16">SUM(distribution.outgoing.voice.by.destination*(offers.segment.all=$C16)*(TRANSPOSE(voice.destination.domestic)=I$6))</f>
        <v>0</v>
      </c>
      <c r="J16" s="81">
        <f t="array" ref="J16">SUM(distribution.outgoing.voice.by.destination*(offers.segment.all=$C16)*(TRANSPOSE(voice.destination.domestic)=J$6))</f>
        <v>0</v>
      </c>
      <c r="K16" s="81">
        <f t="array" ref="K16">SUM(distribution.outgoing.voice.by.destination*(offers.segment.all=$C16)*(TRANSPOSE(voice.destination.domestic)=K$6))</f>
        <v>0</v>
      </c>
      <c r="L16" s="81">
        <f t="array" ref="L16">SUM(distribution.outgoing.voice.by.destination*(offers.segment.all=$C16)*(TRANSPOSE(voice.destination.domestic)=L$6))</f>
        <v>0</v>
      </c>
      <c r="O16" s="169">
        <f t="shared" si="0"/>
        <v>0</v>
      </c>
      <c r="P16" s="103">
        <v>0</v>
      </c>
      <c r="Q16" s="169">
        <f t="shared" si="1"/>
        <v>0</v>
      </c>
      <c r="R16" s="103">
        <v>0</v>
      </c>
      <c r="S16" s="103">
        <v>0</v>
      </c>
      <c r="T16" s="103">
        <v>0</v>
      </c>
    </row>
    <row r="17" spans="3:20" hidden="1" outlineLevel="2">
      <c r="C17" s="73" t="str">
        <v>SpareOfferA11</v>
      </c>
      <c r="E17" t="s">
        <v>163</v>
      </c>
      <c r="G17" s="81">
        <f t="array" ref="G17">SUM(distribution.outgoing.voice.by.destination*(offers.segment.all=$C17)*(TRANSPOSE(voice.destination.domestic)=G$6))</f>
        <v>0</v>
      </c>
      <c r="H17" s="81">
        <f t="array" ref="H17">SUM(distribution.outgoing.voice.by.destination*(offers.segment.all=$C17)*(TRANSPOSE(voice.destination.domestic)=H$6))</f>
        <v>0</v>
      </c>
      <c r="I17" s="81">
        <f t="array" ref="I17">SUM(distribution.outgoing.voice.by.destination*(offers.segment.all=$C17)*(TRANSPOSE(voice.destination.domestic)=I$6))</f>
        <v>0</v>
      </c>
      <c r="J17" s="81">
        <f t="array" ref="J17">SUM(distribution.outgoing.voice.by.destination*(offers.segment.all=$C17)*(TRANSPOSE(voice.destination.domestic)=J$6))</f>
        <v>0</v>
      </c>
      <c r="K17" s="81">
        <f t="array" ref="K17">SUM(distribution.outgoing.voice.by.destination*(offers.segment.all=$C17)*(TRANSPOSE(voice.destination.domestic)=K$6))</f>
        <v>0</v>
      </c>
      <c r="L17" s="81">
        <f t="array" ref="L17">SUM(distribution.outgoing.voice.by.destination*(offers.segment.all=$C17)*(TRANSPOSE(voice.destination.domestic)=L$6))</f>
        <v>0</v>
      </c>
      <c r="O17" s="169">
        <f t="shared" si="0"/>
        <v>0</v>
      </c>
      <c r="P17" s="103">
        <v>0</v>
      </c>
      <c r="Q17" s="169">
        <f t="shared" si="1"/>
        <v>0</v>
      </c>
      <c r="R17" s="103">
        <v>0</v>
      </c>
      <c r="S17" s="103">
        <v>0</v>
      </c>
      <c r="T17" s="103">
        <v>0</v>
      </c>
    </row>
    <row r="18" spans="3:20" hidden="1" outlineLevel="2">
      <c r="C18" s="73" t="str">
        <v>SpareOfferA12</v>
      </c>
      <c r="E18" t="s">
        <v>163</v>
      </c>
      <c r="G18" s="81">
        <f t="array" ref="G18">SUM(distribution.outgoing.voice.by.destination*(offers.segment.all=$C18)*(TRANSPOSE(voice.destination.domestic)=G$6))</f>
        <v>0</v>
      </c>
      <c r="H18" s="81">
        <f t="array" ref="H18">SUM(distribution.outgoing.voice.by.destination*(offers.segment.all=$C18)*(TRANSPOSE(voice.destination.domestic)=H$6))</f>
        <v>0</v>
      </c>
      <c r="I18" s="81">
        <f t="array" ref="I18">SUM(distribution.outgoing.voice.by.destination*(offers.segment.all=$C18)*(TRANSPOSE(voice.destination.domestic)=I$6))</f>
        <v>0</v>
      </c>
      <c r="J18" s="81">
        <f t="array" ref="J18">SUM(distribution.outgoing.voice.by.destination*(offers.segment.all=$C18)*(TRANSPOSE(voice.destination.domestic)=J$6))</f>
        <v>0</v>
      </c>
      <c r="K18" s="81">
        <f t="array" ref="K18">SUM(distribution.outgoing.voice.by.destination*(offers.segment.all=$C18)*(TRANSPOSE(voice.destination.domestic)=K$6))</f>
        <v>0</v>
      </c>
      <c r="L18" s="81">
        <f t="array" ref="L18">SUM(distribution.outgoing.voice.by.destination*(offers.segment.all=$C18)*(TRANSPOSE(voice.destination.domestic)=L$6))</f>
        <v>0</v>
      </c>
      <c r="O18" s="169">
        <f t="shared" si="0"/>
        <v>0</v>
      </c>
      <c r="P18" s="103">
        <v>0</v>
      </c>
      <c r="Q18" s="169">
        <f t="shared" si="1"/>
        <v>0</v>
      </c>
      <c r="R18" s="103">
        <v>0</v>
      </c>
      <c r="S18" s="103">
        <v>0</v>
      </c>
      <c r="T18" s="103">
        <v>0</v>
      </c>
    </row>
    <row r="19" spans="3:20" hidden="1" outlineLevel="2">
      <c r="C19" s="73" t="str">
        <v>SpareOfferA13</v>
      </c>
      <c r="E19" t="s">
        <v>163</v>
      </c>
      <c r="G19" s="81">
        <f t="array" ref="G19">SUM(distribution.outgoing.voice.by.destination*(offers.segment.all=$C19)*(TRANSPOSE(voice.destination.domestic)=G$6))</f>
        <v>0</v>
      </c>
      <c r="H19" s="81">
        <f t="array" ref="H19">SUM(distribution.outgoing.voice.by.destination*(offers.segment.all=$C19)*(TRANSPOSE(voice.destination.domestic)=H$6))</f>
        <v>0</v>
      </c>
      <c r="I19" s="81">
        <f t="array" ref="I19">SUM(distribution.outgoing.voice.by.destination*(offers.segment.all=$C19)*(TRANSPOSE(voice.destination.domestic)=I$6))</f>
        <v>0</v>
      </c>
      <c r="J19" s="81">
        <f t="array" ref="J19">SUM(distribution.outgoing.voice.by.destination*(offers.segment.all=$C19)*(TRANSPOSE(voice.destination.domestic)=J$6))</f>
        <v>0</v>
      </c>
      <c r="K19" s="81">
        <f t="array" ref="K19">SUM(distribution.outgoing.voice.by.destination*(offers.segment.all=$C19)*(TRANSPOSE(voice.destination.domestic)=K$6))</f>
        <v>0</v>
      </c>
      <c r="L19" s="81">
        <f t="array" ref="L19">SUM(distribution.outgoing.voice.by.destination*(offers.segment.all=$C19)*(TRANSPOSE(voice.destination.domestic)=L$6))</f>
        <v>0</v>
      </c>
      <c r="O19" s="169">
        <f t="shared" si="0"/>
        <v>0</v>
      </c>
      <c r="P19" s="103">
        <v>0</v>
      </c>
      <c r="Q19" s="169">
        <f t="shared" si="1"/>
        <v>0</v>
      </c>
      <c r="R19" s="103">
        <v>0</v>
      </c>
      <c r="S19" s="103">
        <v>0</v>
      </c>
      <c r="T19" s="103">
        <v>0</v>
      </c>
    </row>
    <row r="20" spans="3:20" hidden="1" outlineLevel="2">
      <c r="C20" s="73" t="str">
        <v>SpareOfferA14</v>
      </c>
      <c r="E20" t="s">
        <v>163</v>
      </c>
      <c r="G20" s="81">
        <f t="array" ref="G20">SUM(distribution.outgoing.voice.by.destination*(offers.segment.all=$C20)*(TRANSPOSE(voice.destination.domestic)=G$6))</f>
        <v>0</v>
      </c>
      <c r="H20" s="81">
        <f t="array" ref="H20">SUM(distribution.outgoing.voice.by.destination*(offers.segment.all=$C20)*(TRANSPOSE(voice.destination.domestic)=H$6))</f>
        <v>0</v>
      </c>
      <c r="I20" s="81">
        <f t="array" ref="I20">SUM(distribution.outgoing.voice.by.destination*(offers.segment.all=$C20)*(TRANSPOSE(voice.destination.domestic)=I$6))</f>
        <v>0</v>
      </c>
      <c r="J20" s="81">
        <f t="array" ref="J20">SUM(distribution.outgoing.voice.by.destination*(offers.segment.all=$C20)*(TRANSPOSE(voice.destination.domestic)=J$6))</f>
        <v>0</v>
      </c>
      <c r="K20" s="81">
        <f t="array" ref="K20">SUM(distribution.outgoing.voice.by.destination*(offers.segment.all=$C20)*(TRANSPOSE(voice.destination.domestic)=K$6))</f>
        <v>0</v>
      </c>
      <c r="L20" s="81">
        <f t="array" ref="L20">SUM(distribution.outgoing.voice.by.destination*(offers.segment.all=$C20)*(TRANSPOSE(voice.destination.domestic)=L$6))</f>
        <v>0</v>
      </c>
      <c r="O20" s="169">
        <f t="shared" si="0"/>
        <v>0</v>
      </c>
      <c r="P20" s="103">
        <v>0</v>
      </c>
      <c r="Q20" s="169">
        <f t="shared" si="1"/>
        <v>0</v>
      </c>
      <c r="R20" s="103">
        <v>0</v>
      </c>
      <c r="S20" s="103">
        <v>0</v>
      </c>
      <c r="T20" s="103">
        <v>0</v>
      </c>
    </row>
    <row r="21" spans="3:20" hidden="1" outlineLevel="2">
      <c r="C21" s="73" t="str">
        <v>SpareOfferA15</v>
      </c>
      <c r="E21" t="s">
        <v>163</v>
      </c>
      <c r="G21" s="81">
        <f t="array" ref="G21">SUM(distribution.outgoing.voice.by.destination*(offers.segment.all=$C21)*(TRANSPOSE(voice.destination.domestic)=G$6))</f>
        <v>0</v>
      </c>
      <c r="H21" s="81">
        <f t="array" ref="H21">SUM(distribution.outgoing.voice.by.destination*(offers.segment.all=$C21)*(TRANSPOSE(voice.destination.domestic)=H$6))</f>
        <v>0</v>
      </c>
      <c r="I21" s="81">
        <f t="array" ref="I21">SUM(distribution.outgoing.voice.by.destination*(offers.segment.all=$C21)*(TRANSPOSE(voice.destination.domestic)=I$6))</f>
        <v>0</v>
      </c>
      <c r="J21" s="81">
        <f t="array" ref="J21">SUM(distribution.outgoing.voice.by.destination*(offers.segment.all=$C21)*(TRANSPOSE(voice.destination.domestic)=J$6))</f>
        <v>0</v>
      </c>
      <c r="K21" s="81">
        <f t="array" ref="K21">SUM(distribution.outgoing.voice.by.destination*(offers.segment.all=$C21)*(TRANSPOSE(voice.destination.domestic)=K$6))</f>
        <v>0</v>
      </c>
      <c r="L21" s="81">
        <f t="array" ref="L21">SUM(distribution.outgoing.voice.by.destination*(offers.segment.all=$C21)*(TRANSPOSE(voice.destination.domestic)=L$6))</f>
        <v>0</v>
      </c>
      <c r="O21" s="169">
        <f t="shared" si="0"/>
        <v>0</v>
      </c>
      <c r="P21" s="103">
        <v>0</v>
      </c>
      <c r="Q21" s="169">
        <f t="shared" si="1"/>
        <v>0</v>
      </c>
      <c r="R21" s="103">
        <v>0</v>
      </c>
      <c r="S21" s="103">
        <v>0</v>
      </c>
      <c r="T21" s="103">
        <v>0</v>
      </c>
    </row>
    <row r="22" spans="3:20" hidden="1" outlineLevel="2">
      <c r="C22" s="73" t="str">
        <v>SpareOfferA16</v>
      </c>
      <c r="E22" t="s">
        <v>163</v>
      </c>
      <c r="G22" s="81">
        <f t="array" ref="G22">SUM(distribution.outgoing.voice.by.destination*(offers.segment.all=$C22)*(TRANSPOSE(voice.destination.domestic)=G$6))</f>
        <v>0</v>
      </c>
      <c r="H22" s="81">
        <f t="array" ref="H22">SUM(distribution.outgoing.voice.by.destination*(offers.segment.all=$C22)*(TRANSPOSE(voice.destination.domestic)=H$6))</f>
        <v>0</v>
      </c>
      <c r="I22" s="81">
        <f t="array" ref="I22">SUM(distribution.outgoing.voice.by.destination*(offers.segment.all=$C22)*(TRANSPOSE(voice.destination.domestic)=I$6))</f>
        <v>0</v>
      </c>
      <c r="J22" s="81">
        <f t="array" ref="J22">SUM(distribution.outgoing.voice.by.destination*(offers.segment.all=$C22)*(TRANSPOSE(voice.destination.domestic)=J$6))</f>
        <v>0</v>
      </c>
      <c r="K22" s="81">
        <f t="array" ref="K22">SUM(distribution.outgoing.voice.by.destination*(offers.segment.all=$C22)*(TRANSPOSE(voice.destination.domestic)=K$6))</f>
        <v>0</v>
      </c>
      <c r="L22" s="81">
        <f t="array" ref="L22">SUM(distribution.outgoing.voice.by.destination*(offers.segment.all=$C22)*(TRANSPOSE(voice.destination.domestic)=L$6))</f>
        <v>0</v>
      </c>
      <c r="O22" s="169">
        <f t="shared" si="0"/>
        <v>0</v>
      </c>
      <c r="P22" s="103">
        <v>0</v>
      </c>
      <c r="Q22" s="169">
        <f t="shared" si="1"/>
        <v>0</v>
      </c>
      <c r="R22" s="103">
        <v>0</v>
      </c>
      <c r="S22" s="103">
        <v>0</v>
      </c>
      <c r="T22" s="103">
        <v>0</v>
      </c>
    </row>
    <row r="23" spans="3:20" hidden="1" outlineLevel="2">
      <c r="C23" s="73" t="str">
        <v>SpareOfferA17</v>
      </c>
      <c r="E23" t="s">
        <v>163</v>
      </c>
      <c r="G23" s="81">
        <f t="array" ref="G23">SUM(distribution.outgoing.voice.by.destination*(offers.segment.all=$C23)*(TRANSPOSE(voice.destination.domestic)=G$6))</f>
        <v>0</v>
      </c>
      <c r="H23" s="81">
        <f t="array" ref="H23">SUM(distribution.outgoing.voice.by.destination*(offers.segment.all=$C23)*(TRANSPOSE(voice.destination.domestic)=H$6))</f>
        <v>0</v>
      </c>
      <c r="I23" s="81">
        <f t="array" ref="I23">SUM(distribution.outgoing.voice.by.destination*(offers.segment.all=$C23)*(TRANSPOSE(voice.destination.domestic)=I$6))</f>
        <v>0</v>
      </c>
      <c r="J23" s="81">
        <f t="array" ref="J23">SUM(distribution.outgoing.voice.by.destination*(offers.segment.all=$C23)*(TRANSPOSE(voice.destination.domestic)=J$6))</f>
        <v>0</v>
      </c>
      <c r="K23" s="81">
        <f t="array" ref="K23">SUM(distribution.outgoing.voice.by.destination*(offers.segment.all=$C23)*(TRANSPOSE(voice.destination.domestic)=K$6))</f>
        <v>0</v>
      </c>
      <c r="L23" s="81">
        <f t="array" ref="L23">SUM(distribution.outgoing.voice.by.destination*(offers.segment.all=$C23)*(TRANSPOSE(voice.destination.domestic)=L$6))</f>
        <v>0</v>
      </c>
      <c r="O23" s="169">
        <f t="shared" si="0"/>
        <v>0</v>
      </c>
      <c r="P23" s="103">
        <v>0</v>
      </c>
      <c r="Q23" s="169">
        <f t="shared" si="1"/>
        <v>0</v>
      </c>
      <c r="R23" s="103">
        <v>0</v>
      </c>
      <c r="S23" s="103">
        <v>0</v>
      </c>
      <c r="T23" s="103">
        <v>0</v>
      </c>
    </row>
    <row r="24" spans="3:20" hidden="1" outlineLevel="2">
      <c r="C24" s="73" t="str">
        <v>SpareOfferA18</v>
      </c>
      <c r="E24" t="s">
        <v>163</v>
      </c>
      <c r="G24" s="81">
        <f t="array" ref="G24">SUM(distribution.outgoing.voice.by.destination*(offers.segment.all=$C24)*(TRANSPOSE(voice.destination.domestic)=G$6))</f>
        <v>0</v>
      </c>
      <c r="H24" s="81">
        <f t="array" ref="H24">SUM(distribution.outgoing.voice.by.destination*(offers.segment.all=$C24)*(TRANSPOSE(voice.destination.domestic)=H$6))</f>
        <v>0</v>
      </c>
      <c r="I24" s="81">
        <f t="array" ref="I24">SUM(distribution.outgoing.voice.by.destination*(offers.segment.all=$C24)*(TRANSPOSE(voice.destination.domestic)=I$6))</f>
        <v>0</v>
      </c>
      <c r="J24" s="81">
        <f t="array" ref="J24">SUM(distribution.outgoing.voice.by.destination*(offers.segment.all=$C24)*(TRANSPOSE(voice.destination.domestic)=J$6))</f>
        <v>0</v>
      </c>
      <c r="K24" s="81">
        <f t="array" ref="K24">SUM(distribution.outgoing.voice.by.destination*(offers.segment.all=$C24)*(TRANSPOSE(voice.destination.domestic)=K$6))</f>
        <v>0</v>
      </c>
      <c r="L24" s="81">
        <f t="array" ref="L24">SUM(distribution.outgoing.voice.by.destination*(offers.segment.all=$C24)*(TRANSPOSE(voice.destination.domestic)=L$6))</f>
        <v>0</v>
      </c>
      <c r="O24" s="169">
        <f t="shared" si="0"/>
        <v>0</v>
      </c>
      <c r="P24" s="103">
        <v>0</v>
      </c>
      <c r="Q24" s="169">
        <f t="shared" si="1"/>
        <v>0</v>
      </c>
      <c r="R24" s="103">
        <v>0</v>
      </c>
      <c r="S24" s="103">
        <v>0</v>
      </c>
      <c r="T24" s="103">
        <v>0</v>
      </c>
    </row>
    <row r="25" spans="3:20" hidden="1" outlineLevel="2">
      <c r="C25" s="73" t="str">
        <v>SpareOfferA19</v>
      </c>
      <c r="E25" t="s">
        <v>163</v>
      </c>
      <c r="G25" s="81">
        <f t="array" ref="G25">SUM(distribution.outgoing.voice.by.destination*(offers.segment.all=$C25)*(TRANSPOSE(voice.destination.domestic)=G$6))</f>
        <v>0</v>
      </c>
      <c r="H25" s="81">
        <f t="array" ref="H25">SUM(distribution.outgoing.voice.by.destination*(offers.segment.all=$C25)*(TRANSPOSE(voice.destination.domestic)=H$6))</f>
        <v>0</v>
      </c>
      <c r="I25" s="81">
        <f t="array" ref="I25">SUM(distribution.outgoing.voice.by.destination*(offers.segment.all=$C25)*(TRANSPOSE(voice.destination.domestic)=I$6))</f>
        <v>0</v>
      </c>
      <c r="J25" s="81">
        <f t="array" ref="J25">SUM(distribution.outgoing.voice.by.destination*(offers.segment.all=$C25)*(TRANSPOSE(voice.destination.domestic)=J$6))</f>
        <v>0</v>
      </c>
      <c r="K25" s="81">
        <f t="array" ref="K25">SUM(distribution.outgoing.voice.by.destination*(offers.segment.all=$C25)*(TRANSPOSE(voice.destination.domestic)=K$6))</f>
        <v>0</v>
      </c>
      <c r="L25" s="81">
        <f t="array" ref="L25">SUM(distribution.outgoing.voice.by.destination*(offers.segment.all=$C25)*(TRANSPOSE(voice.destination.domestic)=L$6))</f>
        <v>0</v>
      </c>
      <c r="O25" s="169">
        <f t="shared" si="0"/>
        <v>0</v>
      </c>
      <c r="P25" s="103">
        <v>0</v>
      </c>
      <c r="Q25" s="169">
        <f t="shared" si="1"/>
        <v>0</v>
      </c>
      <c r="R25" s="103">
        <v>0</v>
      </c>
      <c r="S25" s="103">
        <v>0</v>
      </c>
      <c r="T25" s="103">
        <v>0</v>
      </c>
    </row>
    <row r="26" spans="3:20" hidden="1" outlineLevel="2">
      <c r="C26" s="73" t="str">
        <v>SpareOfferA20</v>
      </c>
      <c r="E26" t="s">
        <v>163</v>
      </c>
      <c r="G26" s="81">
        <f t="array" ref="G26">SUM(distribution.outgoing.voice.by.destination*(offers.segment.all=$C26)*(TRANSPOSE(voice.destination.domestic)=G$6))</f>
        <v>0</v>
      </c>
      <c r="H26" s="81">
        <f t="array" ref="H26">SUM(distribution.outgoing.voice.by.destination*(offers.segment.all=$C26)*(TRANSPOSE(voice.destination.domestic)=H$6))</f>
        <v>0</v>
      </c>
      <c r="I26" s="81">
        <f t="array" ref="I26">SUM(distribution.outgoing.voice.by.destination*(offers.segment.all=$C26)*(TRANSPOSE(voice.destination.domestic)=I$6))</f>
        <v>0</v>
      </c>
      <c r="J26" s="81">
        <f t="array" ref="J26">SUM(distribution.outgoing.voice.by.destination*(offers.segment.all=$C26)*(TRANSPOSE(voice.destination.domestic)=J$6))</f>
        <v>0</v>
      </c>
      <c r="K26" s="81">
        <f t="array" ref="K26">SUM(distribution.outgoing.voice.by.destination*(offers.segment.all=$C26)*(TRANSPOSE(voice.destination.domestic)=K$6))</f>
        <v>0</v>
      </c>
      <c r="L26" s="81">
        <f t="array" ref="L26">SUM(distribution.outgoing.voice.by.destination*(offers.segment.all=$C26)*(TRANSPOSE(voice.destination.domestic)=L$6))</f>
        <v>0</v>
      </c>
      <c r="O26" s="169">
        <f t="shared" si="0"/>
        <v>0</v>
      </c>
      <c r="P26" s="103">
        <v>0</v>
      </c>
      <c r="Q26" s="169">
        <f t="shared" si="1"/>
        <v>0</v>
      </c>
      <c r="R26" s="103">
        <v>0</v>
      </c>
      <c r="S26" s="103">
        <v>0</v>
      </c>
      <c r="T26" s="103">
        <v>0</v>
      </c>
    </row>
    <row r="27" spans="3:20" hidden="1" outlineLevel="2">
      <c r="C27" s="73" t="str">
        <v>SpareOfferA21</v>
      </c>
      <c r="E27" t="s">
        <v>163</v>
      </c>
      <c r="G27" s="81">
        <f t="array" ref="G27">SUM(distribution.outgoing.voice.by.destination*(offers.segment.all=$C27)*(TRANSPOSE(voice.destination.domestic)=G$6))</f>
        <v>0</v>
      </c>
      <c r="H27" s="81">
        <f t="array" ref="H27">SUM(distribution.outgoing.voice.by.destination*(offers.segment.all=$C27)*(TRANSPOSE(voice.destination.domestic)=H$6))</f>
        <v>0</v>
      </c>
      <c r="I27" s="81">
        <f t="array" ref="I27">SUM(distribution.outgoing.voice.by.destination*(offers.segment.all=$C27)*(TRANSPOSE(voice.destination.domestic)=I$6))</f>
        <v>0</v>
      </c>
      <c r="J27" s="81">
        <f t="array" ref="J27">SUM(distribution.outgoing.voice.by.destination*(offers.segment.all=$C27)*(TRANSPOSE(voice.destination.domestic)=J$6))</f>
        <v>0</v>
      </c>
      <c r="K27" s="81">
        <f t="array" ref="K27">SUM(distribution.outgoing.voice.by.destination*(offers.segment.all=$C27)*(TRANSPOSE(voice.destination.domestic)=K$6))</f>
        <v>0</v>
      </c>
      <c r="L27" s="81">
        <f t="array" ref="L27">SUM(distribution.outgoing.voice.by.destination*(offers.segment.all=$C27)*(TRANSPOSE(voice.destination.domestic)=L$6))</f>
        <v>0</v>
      </c>
      <c r="O27" s="169">
        <f t="shared" si="0"/>
        <v>0</v>
      </c>
      <c r="P27" s="103">
        <v>0</v>
      </c>
      <c r="Q27" s="169">
        <f t="shared" si="1"/>
        <v>0</v>
      </c>
      <c r="R27" s="103">
        <v>0</v>
      </c>
      <c r="S27" s="103">
        <v>0</v>
      </c>
      <c r="T27" s="103">
        <v>0</v>
      </c>
    </row>
    <row r="28" spans="3:20" hidden="1" outlineLevel="2">
      <c r="C28" s="73" t="str">
        <v>SpareOfferA22</v>
      </c>
      <c r="E28" t="s">
        <v>163</v>
      </c>
      <c r="G28" s="81">
        <f t="array" ref="G28">SUM(distribution.outgoing.voice.by.destination*(offers.segment.all=$C28)*(TRANSPOSE(voice.destination.domestic)=G$6))</f>
        <v>0</v>
      </c>
      <c r="H28" s="81">
        <f t="array" ref="H28">SUM(distribution.outgoing.voice.by.destination*(offers.segment.all=$C28)*(TRANSPOSE(voice.destination.domestic)=H$6))</f>
        <v>0</v>
      </c>
      <c r="I28" s="81">
        <f t="array" ref="I28">SUM(distribution.outgoing.voice.by.destination*(offers.segment.all=$C28)*(TRANSPOSE(voice.destination.domestic)=I$6))</f>
        <v>0</v>
      </c>
      <c r="J28" s="81">
        <f t="array" ref="J28">SUM(distribution.outgoing.voice.by.destination*(offers.segment.all=$C28)*(TRANSPOSE(voice.destination.domestic)=J$6))</f>
        <v>0</v>
      </c>
      <c r="K28" s="81">
        <f t="array" ref="K28">SUM(distribution.outgoing.voice.by.destination*(offers.segment.all=$C28)*(TRANSPOSE(voice.destination.domestic)=K$6))</f>
        <v>0</v>
      </c>
      <c r="L28" s="81">
        <f t="array" ref="L28">SUM(distribution.outgoing.voice.by.destination*(offers.segment.all=$C28)*(TRANSPOSE(voice.destination.domestic)=L$6))</f>
        <v>0</v>
      </c>
      <c r="O28" s="169">
        <f t="shared" si="0"/>
        <v>0</v>
      </c>
      <c r="P28" s="103">
        <v>0</v>
      </c>
      <c r="Q28" s="169">
        <f t="shared" si="1"/>
        <v>0</v>
      </c>
      <c r="R28" s="103">
        <v>0</v>
      </c>
      <c r="S28" s="103">
        <v>0</v>
      </c>
      <c r="T28" s="103">
        <v>0</v>
      </c>
    </row>
    <row r="29" spans="3:20" hidden="1" outlineLevel="2">
      <c r="C29" s="73" t="str">
        <v>SpareOfferA23</v>
      </c>
      <c r="E29" t="s">
        <v>163</v>
      </c>
      <c r="G29" s="81">
        <f t="array" ref="G29">SUM(distribution.outgoing.voice.by.destination*(offers.segment.all=$C29)*(TRANSPOSE(voice.destination.domestic)=G$6))</f>
        <v>0</v>
      </c>
      <c r="H29" s="81">
        <f t="array" ref="H29">SUM(distribution.outgoing.voice.by.destination*(offers.segment.all=$C29)*(TRANSPOSE(voice.destination.domestic)=H$6))</f>
        <v>0</v>
      </c>
      <c r="I29" s="81">
        <f t="array" ref="I29">SUM(distribution.outgoing.voice.by.destination*(offers.segment.all=$C29)*(TRANSPOSE(voice.destination.domestic)=I$6))</f>
        <v>0</v>
      </c>
      <c r="J29" s="81">
        <f t="array" ref="J29">SUM(distribution.outgoing.voice.by.destination*(offers.segment.all=$C29)*(TRANSPOSE(voice.destination.domestic)=J$6))</f>
        <v>0</v>
      </c>
      <c r="K29" s="81">
        <f t="array" ref="K29">SUM(distribution.outgoing.voice.by.destination*(offers.segment.all=$C29)*(TRANSPOSE(voice.destination.domestic)=K$6))</f>
        <v>0</v>
      </c>
      <c r="L29" s="81">
        <f t="array" ref="L29">SUM(distribution.outgoing.voice.by.destination*(offers.segment.all=$C29)*(TRANSPOSE(voice.destination.domestic)=L$6))</f>
        <v>0</v>
      </c>
      <c r="O29" s="169">
        <f t="shared" si="0"/>
        <v>0</v>
      </c>
      <c r="P29" s="103">
        <v>0</v>
      </c>
      <c r="Q29" s="169">
        <f t="shared" si="1"/>
        <v>0</v>
      </c>
      <c r="R29" s="103">
        <v>0</v>
      </c>
      <c r="S29" s="103">
        <v>0</v>
      </c>
      <c r="T29" s="103">
        <v>0</v>
      </c>
    </row>
    <row r="30" spans="3:20" hidden="1" outlineLevel="2">
      <c r="C30" s="73" t="str">
        <v>SpareOfferA24</v>
      </c>
      <c r="E30" t="s">
        <v>163</v>
      </c>
      <c r="G30" s="81">
        <f t="array" ref="G30">SUM(distribution.outgoing.voice.by.destination*(offers.segment.all=$C30)*(TRANSPOSE(voice.destination.domestic)=G$6))</f>
        <v>0</v>
      </c>
      <c r="H30" s="81">
        <f t="array" ref="H30">SUM(distribution.outgoing.voice.by.destination*(offers.segment.all=$C30)*(TRANSPOSE(voice.destination.domestic)=H$6))</f>
        <v>0</v>
      </c>
      <c r="I30" s="81">
        <f t="array" ref="I30">SUM(distribution.outgoing.voice.by.destination*(offers.segment.all=$C30)*(TRANSPOSE(voice.destination.domestic)=I$6))</f>
        <v>0</v>
      </c>
      <c r="J30" s="81">
        <f t="array" ref="J30">SUM(distribution.outgoing.voice.by.destination*(offers.segment.all=$C30)*(TRANSPOSE(voice.destination.domestic)=J$6))</f>
        <v>0</v>
      </c>
      <c r="K30" s="81">
        <f t="array" ref="K30">SUM(distribution.outgoing.voice.by.destination*(offers.segment.all=$C30)*(TRANSPOSE(voice.destination.domestic)=K$6))</f>
        <v>0</v>
      </c>
      <c r="L30" s="81">
        <f t="array" ref="L30">SUM(distribution.outgoing.voice.by.destination*(offers.segment.all=$C30)*(TRANSPOSE(voice.destination.domestic)=L$6))</f>
        <v>0</v>
      </c>
      <c r="O30" s="169">
        <f t="shared" si="0"/>
        <v>0</v>
      </c>
      <c r="P30" s="103">
        <v>0</v>
      </c>
      <c r="Q30" s="169">
        <f t="shared" si="1"/>
        <v>0</v>
      </c>
      <c r="R30" s="103">
        <v>0</v>
      </c>
      <c r="S30" s="103">
        <v>0</v>
      </c>
      <c r="T30" s="103">
        <v>0</v>
      </c>
    </row>
    <row r="31" spans="3:20" hidden="1" outlineLevel="2">
      <c r="C31" s="73" t="str">
        <v>SpareOfferA25</v>
      </c>
      <c r="E31" t="s">
        <v>163</v>
      </c>
      <c r="G31" s="81">
        <f t="array" ref="G31">SUM(distribution.outgoing.voice.by.destination*(offers.segment.all=$C31)*(TRANSPOSE(voice.destination.domestic)=G$6))</f>
        <v>0</v>
      </c>
      <c r="H31" s="81">
        <f t="array" ref="H31">SUM(distribution.outgoing.voice.by.destination*(offers.segment.all=$C31)*(TRANSPOSE(voice.destination.domestic)=H$6))</f>
        <v>0</v>
      </c>
      <c r="I31" s="81">
        <f t="array" ref="I31">SUM(distribution.outgoing.voice.by.destination*(offers.segment.all=$C31)*(TRANSPOSE(voice.destination.domestic)=I$6))</f>
        <v>0</v>
      </c>
      <c r="J31" s="81">
        <f t="array" ref="J31">SUM(distribution.outgoing.voice.by.destination*(offers.segment.all=$C31)*(TRANSPOSE(voice.destination.domestic)=J$6))</f>
        <v>0</v>
      </c>
      <c r="K31" s="81">
        <f t="array" ref="K31">SUM(distribution.outgoing.voice.by.destination*(offers.segment.all=$C31)*(TRANSPOSE(voice.destination.domestic)=K$6))</f>
        <v>0</v>
      </c>
      <c r="L31" s="81">
        <f t="array" ref="L31">SUM(distribution.outgoing.voice.by.destination*(offers.segment.all=$C31)*(TRANSPOSE(voice.destination.domestic)=L$6))</f>
        <v>0</v>
      </c>
      <c r="O31" s="169">
        <f t="shared" si="0"/>
        <v>0</v>
      </c>
      <c r="P31" s="103">
        <v>0</v>
      </c>
      <c r="Q31" s="169">
        <f t="shared" si="1"/>
        <v>0</v>
      </c>
      <c r="R31" s="103">
        <v>0</v>
      </c>
      <c r="S31" s="103">
        <v>0</v>
      </c>
      <c r="T31" s="103">
        <v>0</v>
      </c>
    </row>
    <row r="32" spans="3:20" hidden="1" outlineLevel="2">
      <c r="C32" s="73" t="str">
        <v>SpareOfferA26</v>
      </c>
      <c r="E32" t="s">
        <v>163</v>
      </c>
      <c r="G32" s="81">
        <f t="array" ref="G32">SUM(distribution.outgoing.voice.by.destination*(offers.segment.all=$C32)*(TRANSPOSE(voice.destination.domestic)=G$6))</f>
        <v>0</v>
      </c>
      <c r="H32" s="81">
        <f t="array" ref="H32">SUM(distribution.outgoing.voice.by.destination*(offers.segment.all=$C32)*(TRANSPOSE(voice.destination.domestic)=H$6))</f>
        <v>0</v>
      </c>
      <c r="I32" s="81">
        <f t="array" ref="I32">SUM(distribution.outgoing.voice.by.destination*(offers.segment.all=$C32)*(TRANSPOSE(voice.destination.domestic)=I$6))</f>
        <v>0</v>
      </c>
      <c r="J32" s="81">
        <f t="array" ref="J32">SUM(distribution.outgoing.voice.by.destination*(offers.segment.all=$C32)*(TRANSPOSE(voice.destination.domestic)=J$6))</f>
        <v>0</v>
      </c>
      <c r="K32" s="81">
        <f t="array" ref="K32">SUM(distribution.outgoing.voice.by.destination*(offers.segment.all=$C32)*(TRANSPOSE(voice.destination.domestic)=K$6))</f>
        <v>0</v>
      </c>
      <c r="L32" s="81">
        <f t="array" ref="L32">SUM(distribution.outgoing.voice.by.destination*(offers.segment.all=$C32)*(TRANSPOSE(voice.destination.domestic)=L$6))</f>
        <v>0</v>
      </c>
      <c r="O32" s="169">
        <f t="shared" si="0"/>
        <v>0</v>
      </c>
      <c r="P32" s="103">
        <v>0</v>
      </c>
      <c r="Q32" s="169">
        <f t="shared" si="1"/>
        <v>0</v>
      </c>
      <c r="R32" s="103">
        <v>0</v>
      </c>
      <c r="S32" s="103">
        <v>0</v>
      </c>
      <c r="T32" s="103">
        <v>0</v>
      </c>
    </row>
    <row r="33" spans="2:20" hidden="1" outlineLevel="2">
      <c r="C33" s="73" t="str">
        <v>SpareOfferA27</v>
      </c>
      <c r="E33" t="s">
        <v>163</v>
      </c>
      <c r="G33" s="81">
        <f t="array" ref="G33">SUM(distribution.outgoing.voice.by.destination*(offers.segment.all=$C33)*(TRANSPOSE(voice.destination.domestic)=G$6))</f>
        <v>0</v>
      </c>
      <c r="H33" s="81">
        <f t="array" ref="H33">SUM(distribution.outgoing.voice.by.destination*(offers.segment.all=$C33)*(TRANSPOSE(voice.destination.domestic)=H$6))</f>
        <v>0</v>
      </c>
      <c r="I33" s="81">
        <f t="array" ref="I33">SUM(distribution.outgoing.voice.by.destination*(offers.segment.all=$C33)*(TRANSPOSE(voice.destination.domestic)=I$6))</f>
        <v>0</v>
      </c>
      <c r="J33" s="81">
        <f t="array" ref="J33">SUM(distribution.outgoing.voice.by.destination*(offers.segment.all=$C33)*(TRANSPOSE(voice.destination.domestic)=J$6))</f>
        <v>0</v>
      </c>
      <c r="K33" s="81">
        <f t="array" ref="K33">SUM(distribution.outgoing.voice.by.destination*(offers.segment.all=$C33)*(TRANSPOSE(voice.destination.domestic)=K$6))</f>
        <v>0</v>
      </c>
      <c r="L33" s="81">
        <f t="array" ref="L33">SUM(distribution.outgoing.voice.by.destination*(offers.segment.all=$C33)*(TRANSPOSE(voice.destination.domestic)=L$6))</f>
        <v>0</v>
      </c>
      <c r="O33" s="169">
        <f t="shared" si="0"/>
        <v>0</v>
      </c>
      <c r="P33" s="103">
        <v>0</v>
      </c>
      <c r="Q33" s="169">
        <f t="shared" si="1"/>
        <v>0</v>
      </c>
      <c r="R33" s="103">
        <v>0</v>
      </c>
      <c r="S33" s="103">
        <v>0</v>
      </c>
      <c r="T33" s="103">
        <v>0</v>
      </c>
    </row>
    <row r="34" spans="2:20" hidden="1" outlineLevel="2">
      <c r="C34" s="73" t="str">
        <v>SpareOfferA28</v>
      </c>
      <c r="E34" t="s">
        <v>163</v>
      </c>
      <c r="G34" s="81">
        <f t="array" ref="G34">SUM(distribution.outgoing.voice.by.destination*(offers.segment.all=$C34)*(TRANSPOSE(voice.destination.domestic)=G$6))</f>
        <v>0</v>
      </c>
      <c r="H34" s="81">
        <f t="array" ref="H34">SUM(distribution.outgoing.voice.by.destination*(offers.segment.all=$C34)*(TRANSPOSE(voice.destination.domestic)=H$6))</f>
        <v>0</v>
      </c>
      <c r="I34" s="81">
        <f t="array" ref="I34">SUM(distribution.outgoing.voice.by.destination*(offers.segment.all=$C34)*(TRANSPOSE(voice.destination.domestic)=I$6))</f>
        <v>0</v>
      </c>
      <c r="J34" s="81">
        <f t="array" ref="J34">SUM(distribution.outgoing.voice.by.destination*(offers.segment.all=$C34)*(TRANSPOSE(voice.destination.domestic)=J$6))</f>
        <v>0</v>
      </c>
      <c r="K34" s="81">
        <f t="array" ref="K34">SUM(distribution.outgoing.voice.by.destination*(offers.segment.all=$C34)*(TRANSPOSE(voice.destination.domestic)=K$6))</f>
        <v>0</v>
      </c>
      <c r="L34" s="81">
        <f t="array" ref="L34">SUM(distribution.outgoing.voice.by.destination*(offers.segment.all=$C34)*(TRANSPOSE(voice.destination.domestic)=L$6))</f>
        <v>0</v>
      </c>
      <c r="O34" s="169">
        <f t="shared" si="0"/>
        <v>0</v>
      </c>
      <c r="P34" s="103">
        <v>0</v>
      </c>
      <c r="Q34" s="169">
        <f t="shared" si="1"/>
        <v>0</v>
      </c>
      <c r="R34" s="103">
        <v>0</v>
      </c>
      <c r="S34" s="103">
        <v>0</v>
      </c>
      <c r="T34" s="103">
        <v>0</v>
      </c>
    </row>
    <row r="35" spans="2:20" hidden="1" outlineLevel="2">
      <c r="C35" s="73" t="str">
        <v>SpareOfferA29</v>
      </c>
      <c r="E35" t="s">
        <v>163</v>
      </c>
      <c r="G35" s="81">
        <f t="array" ref="G35">SUM(distribution.outgoing.voice.by.destination*(offers.segment.all=$C35)*(TRANSPOSE(voice.destination.domestic)=G$6))</f>
        <v>0</v>
      </c>
      <c r="H35" s="81">
        <f t="array" ref="H35">SUM(distribution.outgoing.voice.by.destination*(offers.segment.all=$C35)*(TRANSPOSE(voice.destination.domestic)=H$6))</f>
        <v>0</v>
      </c>
      <c r="I35" s="81">
        <f t="array" ref="I35">SUM(distribution.outgoing.voice.by.destination*(offers.segment.all=$C35)*(TRANSPOSE(voice.destination.domestic)=I$6))</f>
        <v>0</v>
      </c>
      <c r="J35" s="81">
        <f t="array" ref="J35">SUM(distribution.outgoing.voice.by.destination*(offers.segment.all=$C35)*(TRANSPOSE(voice.destination.domestic)=J$6))</f>
        <v>0</v>
      </c>
      <c r="K35" s="81">
        <f t="array" ref="K35">SUM(distribution.outgoing.voice.by.destination*(offers.segment.all=$C35)*(TRANSPOSE(voice.destination.domestic)=K$6))</f>
        <v>0</v>
      </c>
      <c r="L35" s="81">
        <f t="array" ref="L35">SUM(distribution.outgoing.voice.by.destination*(offers.segment.all=$C35)*(TRANSPOSE(voice.destination.domestic)=L$6))</f>
        <v>0</v>
      </c>
      <c r="O35" s="169">
        <f t="shared" si="0"/>
        <v>0</v>
      </c>
      <c r="P35" s="103">
        <v>0</v>
      </c>
      <c r="Q35" s="169">
        <f t="shared" si="1"/>
        <v>0</v>
      </c>
      <c r="R35" s="103">
        <v>0</v>
      </c>
      <c r="S35" s="103">
        <v>0</v>
      </c>
      <c r="T35" s="103">
        <v>0</v>
      </c>
    </row>
    <row r="36" spans="2:20" hidden="1" outlineLevel="2">
      <c r="C36" s="73" t="str">
        <v>SpareOfferA30</v>
      </c>
      <c r="E36" t="s">
        <v>163</v>
      </c>
      <c r="G36" s="81">
        <f t="array" ref="G36">SUM(distribution.outgoing.voice.by.destination*(offers.segment.all=$C36)*(TRANSPOSE(voice.destination.domestic)=G$6))</f>
        <v>0</v>
      </c>
      <c r="H36" s="81">
        <f t="array" ref="H36">SUM(distribution.outgoing.voice.by.destination*(offers.segment.all=$C36)*(TRANSPOSE(voice.destination.domestic)=H$6))</f>
        <v>0</v>
      </c>
      <c r="I36" s="81">
        <f t="array" ref="I36">SUM(distribution.outgoing.voice.by.destination*(offers.segment.all=$C36)*(TRANSPOSE(voice.destination.domestic)=I$6))</f>
        <v>0</v>
      </c>
      <c r="J36" s="81">
        <f t="array" ref="J36">SUM(distribution.outgoing.voice.by.destination*(offers.segment.all=$C36)*(TRANSPOSE(voice.destination.domestic)=J$6))</f>
        <v>0</v>
      </c>
      <c r="K36" s="81">
        <f t="array" ref="K36">SUM(distribution.outgoing.voice.by.destination*(offers.segment.all=$C36)*(TRANSPOSE(voice.destination.domestic)=K$6))</f>
        <v>0</v>
      </c>
      <c r="L36" s="81">
        <f t="array" ref="L36">SUM(distribution.outgoing.voice.by.destination*(offers.segment.all=$C36)*(TRANSPOSE(voice.destination.domestic)=L$6))</f>
        <v>0</v>
      </c>
      <c r="O36" s="169">
        <f t="shared" si="0"/>
        <v>0</v>
      </c>
      <c r="P36" s="103">
        <v>0</v>
      </c>
      <c r="Q36" s="169">
        <f t="shared" si="1"/>
        <v>0</v>
      </c>
      <c r="R36" s="103">
        <v>0</v>
      </c>
      <c r="S36" s="103">
        <v>0</v>
      </c>
      <c r="T36" s="103">
        <v>0</v>
      </c>
    </row>
    <row r="37" spans="2:20" hidden="1" outlineLevel="2">
      <c r="C37" s="73" t="str">
        <v>SpareOfferA31</v>
      </c>
      <c r="E37" t="s">
        <v>163</v>
      </c>
      <c r="G37" s="81">
        <f t="array" ref="G37">SUM(distribution.outgoing.voice.by.destination*(offers.segment.all=$C37)*(TRANSPOSE(voice.destination.domestic)=G$6))</f>
        <v>0</v>
      </c>
      <c r="H37" s="81">
        <f t="array" ref="H37">SUM(distribution.outgoing.voice.by.destination*(offers.segment.all=$C37)*(TRANSPOSE(voice.destination.domestic)=H$6))</f>
        <v>0</v>
      </c>
      <c r="I37" s="81">
        <f t="array" ref="I37">SUM(distribution.outgoing.voice.by.destination*(offers.segment.all=$C37)*(TRANSPOSE(voice.destination.domestic)=I$6))</f>
        <v>0</v>
      </c>
      <c r="J37" s="81">
        <f t="array" ref="J37">SUM(distribution.outgoing.voice.by.destination*(offers.segment.all=$C37)*(TRANSPOSE(voice.destination.domestic)=J$6))</f>
        <v>0</v>
      </c>
      <c r="K37" s="81">
        <f t="array" ref="K37">SUM(distribution.outgoing.voice.by.destination*(offers.segment.all=$C37)*(TRANSPOSE(voice.destination.domestic)=K$6))</f>
        <v>0</v>
      </c>
      <c r="L37" s="81">
        <f t="array" ref="L37">SUM(distribution.outgoing.voice.by.destination*(offers.segment.all=$C37)*(TRANSPOSE(voice.destination.domestic)=L$6))</f>
        <v>0</v>
      </c>
      <c r="O37" s="169">
        <f t="shared" si="0"/>
        <v>0</v>
      </c>
      <c r="P37" s="103">
        <v>0</v>
      </c>
      <c r="Q37" s="169">
        <f t="shared" si="1"/>
        <v>0</v>
      </c>
      <c r="R37" s="103">
        <v>0</v>
      </c>
      <c r="S37" s="103">
        <v>0</v>
      </c>
      <c r="T37" s="103">
        <v>0</v>
      </c>
    </row>
    <row r="38" spans="2:20" hidden="1" outlineLevel="2">
      <c r="C38" s="73" t="str">
        <v>SpareOfferA32</v>
      </c>
      <c r="E38" t="s">
        <v>163</v>
      </c>
      <c r="G38" s="81">
        <f t="array" ref="G38">SUM(distribution.outgoing.voice.by.destination*(offers.segment.all=$C38)*(TRANSPOSE(voice.destination.domestic)=G$6))</f>
        <v>0</v>
      </c>
      <c r="H38" s="81">
        <f t="array" ref="H38">SUM(distribution.outgoing.voice.by.destination*(offers.segment.all=$C38)*(TRANSPOSE(voice.destination.domestic)=H$6))</f>
        <v>0</v>
      </c>
      <c r="I38" s="81">
        <f t="array" ref="I38">SUM(distribution.outgoing.voice.by.destination*(offers.segment.all=$C38)*(TRANSPOSE(voice.destination.domestic)=I$6))</f>
        <v>0</v>
      </c>
      <c r="J38" s="81">
        <f t="array" ref="J38">SUM(distribution.outgoing.voice.by.destination*(offers.segment.all=$C38)*(TRANSPOSE(voice.destination.domestic)=J$6))</f>
        <v>0</v>
      </c>
      <c r="K38" s="81">
        <f t="array" ref="K38">SUM(distribution.outgoing.voice.by.destination*(offers.segment.all=$C38)*(TRANSPOSE(voice.destination.domestic)=K$6))</f>
        <v>0</v>
      </c>
      <c r="L38" s="81">
        <f t="array" ref="L38">SUM(distribution.outgoing.voice.by.destination*(offers.segment.all=$C38)*(TRANSPOSE(voice.destination.domestic)=L$6))</f>
        <v>0</v>
      </c>
      <c r="O38" s="169">
        <f t="shared" si="0"/>
        <v>0</v>
      </c>
      <c r="P38" s="103">
        <v>0</v>
      </c>
      <c r="Q38" s="169">
        <f t="shared" si="1"/>
        <v>0</v>
      </c>
      <c r="R38" s="103">
        <v>0</v>
      </c>
      <c r="S38" s="103">
        <v>0</v>
      </c>
      <c r="T38" s="103">
        <v>0</v>
      </c>
    </row>
    <row r="39" spans="2:20" hidden="1" outlineLevel="2">
      <c r="C39" s="73" t="str">
        <v>SpareOfferA33</v>
      </c>
      <c r="E39" t="s">
        <v>163</v>
      </c>
      <c r="G39" s="81">
        <f t="array" ref="G39">SUM(distribution.outgoing.voice.by.destination*(offers.segment.all=$C39)*(TRANSPOSE(voice.destination.domestic)=G$6))</f>
        <v>0</v>
      </c>
      <c r="H39" s="81">
        <f t="array" ref="H39">SUM(distribution.outgoing.voice.by.destination*(offers.segment.all=$C39)*(TRANSPOSE(voice.destination.domestic)=H$6))</f>
        <v>0</v>
      </c>
      <c r="I39" s="81">
        <f t="array" ref="I39">SUM(distribution.outgoing.voice.by.destination*(offers.segment.all=$C39)*(TRANSPOSE(voice.destination.domestic)=I$6))</f>
        <v>0</v>
      </c>
      <c r="J39" s="81">
        <f t="array" ref="J39">SUM(distribution.outgoing.voice.by.destination*(offers.segment.all=$C39)*(TRANSPOSE(voice.destination.domestic)=J$6))</f>
        <v>0</v>
      </c>
      <c r="K39" s="81">
        <f t="array" ref="K39">SUM(distribution.outgoing.voice.by.destination*(offers.segment.all=$C39)*(TRANSPOSE(voice.destination.domestic)=K$6))</f>
        <v>0</v>
      </c>
      <c r="L39" s="81">
        <f t="array" ref="L39">SUM(distribution.outgoing.voice.by.destination*(offers.segment.all=$C39)*(TRANSPOSE(voice.destination.domestic)=L$6))</f>
        <v>0</v>
      </c>
      <c r="O39" s="169">
        <f t="shared" si="0"/>
        <v>0</v>
      </c>
      <c r="P39" s="103">
        <v>0</v>
      </c>
      <c r="Q39" s="169">
        <f t="shared" si="1"/>
        <v>0</v>
      </c>
      <c r="R39" s="103">
        <v>0</v>
      </c>
      <c r="S39" s="103">
        <v>0</v>
      </c>
      <c r="T39" s="103">
        <v>0</v>
      </c>
    </row>
    <row r="40" spans="2:20" hidden="1" outlineLevel="2">
      <c r="C40" s="73" t="str">
        <v>SpareOfferA34</v>
      </c>
      <c r="E40" t="s">
        <v>163</v>
      </c>
      <c r="G40" s="81">
        <f t="array" ref="G40">SUM(distribution.outgoing.voice.by.destination*(offers.segment.all=$C40)*(TRANSPOSE(voice.destination.domestic)=G$6))</f>
        <v>0</v>
      </c>
      <c r="H40" s="81">
        <f t="array" ref="H40">SUM(distribution.outgoing.voice.by.destination*(offers.segment.all=$C40)*(TRANSPOSE(voice.destination.domestic)=H$6))</f>
        <v>0</v>
      </c>
      <c r="I40" s="81">
        <f t="array" ref="I40">SUM(distribution.outgoing.voice.by.destination*(offers.segment.all=$C40)*(TRANSPOSE(voice.destination.domestic)=I$6))</f>
        <v>0</v>
      </c>
      <c r="J40" s="81">
        <f t="array" ref="J40">SUM(distribution.outgoing.voice.by.destination*(offers.segment.all=$C40)*(TRANSPOSE(voice.destination.domestic)=J$6))</f>
        <v>0</v>
      </c>
      <c r="K40" s="81">
        <f t="array" ref="K40">SUM(distribution.outgoing.voice.by.destination*(offers.segment.all=$C40)*(TRANSPOSE(voice.destination.domestic)=K$6))</f>
        <v>0</v>
      </c>
      <c r="L40" s="81">
        <f t="array" ref="L40">SUM(distribution.outgoing.voice.by.destination*(offers.segment.all=$C40)*(TRANSPOSE(voice.destination.domestic)=L$6))</f>
        <v>0</v>
      </c>
      <c r="O40" s="169">
        <f t="shared" si="0"/>
        <v>0</v>
      </c>
      <c r="P40" s="103">
        <v>0</v>
      </c>
      <c r="Q40" s="169">
        <f t="shared" si="1"/>
        <v>0</v>
      </c>
      <c r="R40" s="103">
        <v>0</v>
      </c>
      <c r="S40" s="103">
        <v>0</v>
      </c>
      <c r="T40" s="103">
        <v>0</v>
      </c>
    </row>
    <row r="41" spans="2:20" outlineLevel="1" collapsed="1">
      <c r="C41" s="73" t="str">
        <v>SpareOfferA35</v>
      </c>
      <c r="E41" t="s">
        <v>163</v>
      </c>
      <c r="G41" s="81">
        <f t="array" ref="G41">SUM(distribution.outgoing.voice.by.destination*(offers.segment.all=$C41)*(TRANSPOSE(voice.destination.domestic)=G$6))</f>
        <v>0</v>
      </c>
      <c r="H41" s="81">
        <f t="array" ref="H41">SUM(distribution.outgoing.voice.by.destination*(offers.segment.all=$C41)*(TRANSPOSE(voice.destination.domestic)=H$6))</f>
        <v>0</v>
      </c>
      <c r="I41" s="81">
        <f t="array" ref="I41">SUM(distribution.outgoing.voice.by.destination*(offers.segment.all=$C41)*(TRANSPOSE(voice.destination.domestic)=I$6))</f>
        <v>0</v>
      </c>
      <c r="J41" s="81">
        <f t="array" ref="J41">SUM(distribution.outgoing.voice.by.destination*(offers.segment.all=$C41)*(TRANSPOSE(voice.destination.domestic)=J$6))</f>
        <v>0</v>
      </c>
      <c r="K41" s="81">
        <f t="array" ref="K41">SUM(distribution.outgoing.voice.by.destination*(offers.segment.all=$C41)*(TRANSPOSE(voice.destination.domestic)=K$6))</f>
        <v>0</v>
      </c>
      <c r="L41" s="81">
        <f t="array" ref="L41">SUM(distribution.outgoing.voice.by.destination*(offers.segment.all=$C41)*(TRANSPOSE(voice.destination.domestic)=L$6))</f>
        <v>0</v>
      </c>
      <c r="O41" s="169">
        <f t="shared" si="0"/>
        <v>0</v>
      </c>
      <c r="P41" s="103">
        <v>0</v>
      </c>
      <c r="Q41" s="169">
        <f t="shared" si="1"/>
        <v>0</v>
      </c>
      <c r="R41" s="103">
        <v>0</v>
      </c>
      <c r="S41" s="103">
        <v>0</v>
      </c>
      <c r="T41" s="103">
        <v>0</v>
      </c>
    </row>
    <row r="42" spans="2:20" outlineLevel="1"/>
    <row r="43" spans="2:20" ht="12" customHeight="1" outlineLevel="1">
      <c r="C43" s="35" t="s">
        <v>154</v>
      </c>
      <c r="O43" s="66" t="s">
        <v>161</v>
      </c>
      <c r="P43" s="66"/>
      <c r="Q43" s="66"/>
      <c r="S43" s="66" t="s">
        <v>177</v>
      </c>
      <c r="T43" s="66"/>
    </row>
    <row r="44" spans="2:20" ht="23" outlineLevel="1">
      <c r="C44" s="1" t="s">
        <v>309</v>
      </c>
      <c r="G44" s="95" t="str">
        <f t="array" ref="G44:L44">options.selected.basic</f>
        <v>National voice</v>
      </c>
      <c r="H44" s="95" t="str">
        <v>International voice</v>
      </c>
      <c r="I44" s="95" t="str">
        <v>National SMS</v>
      </c>
      <c r="J44" s="95" t="str">
        <v>International SMS</v>
      </c>
      <c r="K44" s="95" t="str">
        <v>National data</v>
      </c>
      <c r="L44" s="95" t="str">
        <v>Spare 1</v>
      </c>
      <c r="O44" s="95" t="str">
        <f t="array" ref="O44:Q44">options.selected.VAS</f>
        <v>VAS minutes</v>
      </c>
      <c r="P44" s="95" t="str">
        <v>VAS BankID</v>
      </c>
      <c r="Q44" s="95" t="str">
        <v>Other VAS messages</v>
      </c>
      <c r="S44" s="95" t="str">
        <f t="array" ref="S44:T44">options.selected.termination</f>
        <v>Voice termination</v>
      </c>
      <c r="T44" s="95" t="str">
        <v>Message termination</v>
      </c>
    </row>
    <row r="45" spans="2:20" outlineLevel="1">
      <c r="B45">
        <f t="shared" ref="B45:B79" si="2">MATCH(C45,offers.segment.all,0)</f>
        <v>1</v>
      </c>
      <c r="C45" s="73" t="str">
        <f t="array" ref="C45:C79">offers.segment.1</f>
        <v>SpareOfferA1</v>
      </c>
      <c r="G45" s="101">
        <f t="shared" ref="G45:L54" si="3">INDEX(per.sub.volumes.by.demand.descriptions,$B45,MATCH(G$44,demand.descriptions.short,0))</f>
        <v>0</v>
      </c>
      <c r="H45" s="101">
        <f t="shared" si="3"/>
        <v>0</v>
      </c>
      <c r="I45" s="101">
        <f t="shared" si="3"/>
        <v>0</v>
      </c>
      <c r="J45" s="101">
        <f t="shared" si="3"/>
        <v>0</v>
      </c>
      <c r="K45" s="101">
        <f t="shared" si="3"/>
        <v>0</v>
      </c>
      <c r="L45" s="101">
        <f t="shared" si="3"/>
        <v>0</v>
      </c>
      <c r="O45" s="101">
        <f t="shared" ref="O45:Q64" si="4">INDEX(per.sub.volumes.by.demand.descriptions,$B45,MATCH(O$44,demand.descriptions.short,0))</f>
        <v>0</v>
      </c>
      <c r="P45" s="101">
        <f t="shared" si="4"/>
        <v>0</v>
      </c>
      <c r="Q45" s="101">
        <f t="shared" si="4"/>
        <v>0</v>
      </c>
      <c r="S45" s="101">
        <f t="shared" ref="S45:T64" si="5">INDEX(per.sub.volumes.by.demand.descriptions,$B45,MATCH(S$44,demand.descriptions.short,0))</f>
        <v>0</v>
      </c>
      <c r="T45" s="101">
        <f t="shared" si="5"/>
        <v>0</v>
      </c>
    </row>
    <row r="46" spans="2:20" hidden="1" outlineLevel="2">
      <c r="B46">
        <f t="shared" si="2"/>
        <v>2</v>
      </c>
      <c r="C46" s="73" t="str">
        <v>SpareOfferA2</v>
      </c>
      <c r="G46" s="101">
        <f t="shared" si="3"/>
        <v>0</v>
      </c>
      <c r="H46" s="101">
        <f t="shared" si="3"/>
        <v>0</v>
      </c>
      <c r="I46" s="101">
        <f t="shared" si="3"/>
        <v>0</v>
      </c>
      <c r="J46" s="101">
        <f t="shared" si="3"/>
        <v>0</v>
      </c>
      <c r="K46" s="101">
        <f t="shared" si="3"/>
        <v>0</v>
      </c>
      <c r="L46" s="101">
        <f t="shared" si="3"/>
        <v>0</v>
      </c>
      <c r="O46" s="101">
        <f t="shared" si="4"/>
        <v>0</v>
      </c>
      <c r="P46" s="101">
        <f t="shared" si="4"/>
        <v>0</v>
      </c>
      <c r="Q46" s="101">
        <f t="shared" si="4"/>
        <v>0</v>
      </c>
      <c r="S46" s="101">
        <f t="shared" si="5"/>
        <v>0</v>
      </c>
      <c r="T46" s="101">
        <f t="shared" si="5"/>
        <v>0</v>
      </c>
    </row>
    <row r="47" spans="2:20" hidden="1" outlineLevel="2">
      <c r="B47">
        <f t="shared" si="2"/>
        <v>3</v>
      </c>
      <c r="C47" s="73" t="str">
        <v>SpareOfferA3</v>
      </c>
      <c r="G47" s="101">
        <f t="shared" si="3"/>
        <v>0</v>
      </c>
      <c r="H47" s="101">
        <f t="shared" si="3"/>
        <v>0</v>
      </c>
      <c r="I47" s="101">
        <f t="shared" si="3"/>
        <v>0</v>
      </c>
      <c r="J47" s="101">
        <f t="shared" si="3"/>
        <v>0</v>
      </c>
      <c r="K47" s="101">
        <f t="shared" si="3"/>
        <v>0</v>
      </c>
      <c r="L47" s="101">
        <f t="shared" si="3"/>
        <v>0</v>
      </c>
      <c r="O47" s="101">
        <f t="shared" si="4"/>
        <v>0</v>
      </c>
      <c r="P47" s="101">
        <f t="shared" si="4"/>
        <v>0</v>
      </c>
      <c r="Q47" s="101">
        <f t="shared" si="4"/>
        <v>0</v>
      </c>
      <c r="S47" s="101">
        <f t="shared" si="5"/>
        <v>0</v>
      </c>
      <c r="T47" s="101">
        <f t="shared" si="5"/>
        <v>0</v>
      </c>
    </row>
    <row r="48" spans="2:20" hidden="1" outlineLevel="2">
      <c r="B48">
        <f t="shared" si="2"/>
        <v>4</v>
      </c>
      <c r="C48" s="73" t="str">
        <v>SpareOfferA4</v>
      </c>
      <c r="G48" s="101">
        <f t="shared" si="3"/>
        <v>0</v>
      </c>
      <c r="H48" s="101">
        <f t="shared" si="3"/>
        <v>0</v>
      </c>
      <c r="I48" s="101">
        <f t="shared" si="3"/>
        <v>0</v>
      </c>
      <c r="J48" s="101">
        <f t="shared" si="3"/>
        <v>0</v>
      </c>
      <c r="K48" s="101">
        <f t="shared" si="3"/>
        <v>0</v>
      </c>
      <c r="L48" s="101">
        <f t="shared" si="3"/>
        <v>0</v>
      </c>
      <c r="O48" s="101">
        <f t="shared" si="4"/>
        <v>0</v>
      </c>
      <c r="P48" s="101">
        <f t="shared" si="4"/>
        <v>0</v>
      </c>
      <c r="Q48" s="101">
        <f t="shared" si="4"/>
        <v>0</v>
      </c>
      <c r="S48" s="101">
        <f t="shared" si="5"/>
        <v>0</v>
      </c>
      <c r="T48" s="101">
        <f t="shared" si="5"/>
        <v>0</v>
      </c>
    </row>
    <row r="49" spans="2:20" hidden="1" outlineLevel="2">
      <c r="B49">
        <f t="shared" si="2"/>
        <v>5</v>
      </c>
      <c r="C49" s="73" t="str">
        <v>SpareOfferA5</v>
      </c>
      <c r="G49" s="101">
        <f t="shared" si="3"/>
        <v>0</v>
      </c>
      <c r="H49" s="101">
        <f t="shared" si="3"/>
        <v>0</v>
      </c>
      <c r="I49" s="101">
        <f t="shared" si="3"/>
        <v>0</v>
      </c>
      <c r="J49" s="101">
        <f t="shared" si="3"/>
        <v>0</v>
      </c>
      <c r="K49" s="101">
        <f t="shared" si="3"/>
        <v>0</v>
      </c>
      <c r="L49" s="101">
        <f t="shared" si="3"/>
        <v>0</v>
      </c>
      <c r="O49" s="101">
        <f t="shared" si="4"/>
        <v>0</v>
      </c>
      <c r="P49" s="101">
        <f t="shared" si="4"/>
        <v>0</v>
      </c>
      <c r="Q49" s="101">
        <f t="shared" si="4"/>
        <v>0</v>
      </c>
      <c r="S49" s="101">
        <f t="shared" si="5"/>
        <v>0</v>
      </c>
      <c r="T49" s="101">
        <f t="shared" si="5"/>
        <v>0</v>
      </c>
    </row>
    <row r="50" spans="2:20" hidden="1" outlineLevel="2">
      <c r="B50">
        <f t="shared" si="2"/>
        <v>6</v>
      </c>
      <c r="C50" s="73" t="str">
        <v>SpareOfferA6</v>
      </c>
      <c r="G50" s="101">
        <f t="shared" si="3"/>
        <v>0</v>
      </c>
      <c r="H50" s="101">
        <f t="shared" si="3"/>
        <v>0</v>
      </c>
      <c r="I50" s="101">
        <f t="shared" si="3"/>
        <v>0</v>
      </c>
      <c r="J50" s="101">
        <f t="shared" si="3"/>
        <v>0</v>
      </c>
      <c r="K50" s="101">
        <f t="shared" si="3"/>
        <v>0</v>
      </c>
      <c r="L50" s="101">
        <f t="shared" si="3"/>
        <v>0</v>
      </c>
      <c r="O50" s="101">
        <f t="shared" si="4"/>
        <v>0</v>
      </c>
      <c r="P50" s="101">
        <f t="shared" si="4"/>
        <v>0</v>
      </c>
      <c r="Q50" s="101">
        <f t="shared" si="4"/>
        <v>0</v>
      </c>
      <c r="S50" s="101">
        <f t="shared" si="5"/>
        <v>0</v>
      </c>
      <c r="T50" s="101">
        <f t="shared" si="5"/>
        <v>0</v>
      </c>
    </row>
    <row r="51" spans="2:20" hidden="1" outlineLevel="2">
      <c r="B51">
        <f t="shared" si="2"/>
        <v>7</v>
      </c>
      <c r="C51" s="73" t="str">
        <v>SpareOfferA7</v>
      </c>
      <c r="G51" s="101">
        <f t="shared" si="3"/>
        <v>0</v>
      </c>
      <c r="H51" s="101">
        <f t="shared" si="3"/>
        <v>0</v>
      </c>
      <c r="I51" s="101">
        <f t="shared" si="3"/>
        <v>0</v>
      </c>
      <c r="J51" s="101">
        <f t="shared" si="3"/>
        <v>0</v>
      </c>
      <c r="K51" s="101">
        <f t="shared" si="3"/>
        <v>0</v>
      </c>
      <c r="L51" s="101">
        <f t="shared" si="3"/>
        <v>0</v>
      </c>
      <c r="O51" s="101">
        <f t="shared" si="4"/>
        <v>0</v>
      </c>
      <c r="P51" s="101">
        <f t="shared" si="4"/>
        <v>0</v>
      </c>
      <c r="Q51" s="101">
        <f t="shared" si="4"/>
        <v>0</v>
      </c>
      <c r="S51" s="101">
        <f t="shared" si="5"/>
        <v>0</v>
      </c>
      <c r="T51" s="101">
        <f t="shared" si="5"/>
        <v>0</v>
      </c>
    </row>
    <row r="52" spans="2:20" hidden="1" outlineLevel="2">
      <c r="B52">
        <f t="shared" si="2"/>
        <v>8</v>
      </c>
      <c r="C52" s="73" t="str">
        <v>SpareOfferA8</v>
      </c>
      <c r="G52" s="101">
        <f t="shared" si="3"/>
        <v>0</v>
      </c>
      <c r="H52" s="101">
        <f t="shared" si="3"/>
        <v>0</v>
      </c>
      <c r="I52" s="101">
        <f t="shared" si="3"/>
        <v>0</v>
      </c>
      <c r="J52" s="101">
        <f t="shared" si="3"/>
        <v>0</v>
      </c>
      <c r="K52" s="101">
        <f t="shared" si="3"/>
        <v>0</v>
      </c>
      <c r="L52" s="101">
        <f t="shared" si="3"/>
        <v>0</v>
      </c>
      <c r="O52" s="101">
        <f t="shared" si="4"/>
        <v>0</v>
      </c>
      <c r="P52" s="101">
        <f t="shared" si="4"/>
        <v>0</v>
      </c>
      <c r="Q52" s="101">
        <f t="shared" si="4"/>
        <v>0</v>
      </c>
      <c r="S52" s="101">
        <f t="shared" si="5"/>
        <v>0</v>
      </c>
      <c r="T52" s="101">
        <f t="shared" si="5"/>
        <v>0</v>
      </c>
    </row>
    <row r="53" spans="2:20" hidden="1" outlineLevel="2">
      <c r="B53">
        <f t="shared" si="2"/>
        <v>9</v>
      </c>
      <c r="C53" s="73" t="str">
        <v>SpareOfferA9</v>
      </c>
      <c r="G53" s="101">
        <f t="shared" si="3"/>
        <v>0</v>
      </c>
      <c r="H53" s="101">
        <f t="shared" si="3"/>
        <v>0</v>
      </c>
      <c r="I53" s="101">
        <f t="shared" si="3"/>
        <v>0</v>
      </c>
      <c r="J53" s="101">
        <f t="shared" si="3"/>
        <v>0</v>
      </c>
      <c r="K53" s="101">
        <f t="shared" si="3"/>
        <v>0</v>
      </c>
      <c r="L53" s="101">
        <f t="shared" si="3"/>
        <v>0</v>
      </c>
      <c r="O53" s="101">
        <f t="shared" si="4"/>
        <v>0</v>
      </c>
      <c r="P53" s="101">
        <f t="shared" si="4"/>
        <v>0</v>
      </c>
      <c r="Q53" s="101">
        <f t="shared" si="4"/>
        <v>0</v>
      </c>
      <c r="S53" s="101">
        <f t="shared" si="5"/>
        <v>0</v>
      </c>
      <c r="T53" s="101">
        <f t="shared" si="5"/>
        <v>0</v>
      </c>
    </row>
    <row r="54" spans="2:20" hidden="1" outlineLevel="2">
      <c r="B54">
        <f t="shared" si="2"/>
        <v>10</v>
      </c>
      <c r="C54" s="73" t="str">
        <v>SpareOfferA10</v>
      </c>
      <c r="G54" s="101">
        <f t="shared" si="3"/>
        <v>0</v>
      </c>
      <c r="H54" s="101">
        <f t="shared" si="3"/>
        <v>0</v>
      </c>
      <c r="I54" s="101">
        <f t="shared" si="3"/>
        <v>0</v>
      </c>
      <c r="J54" s="101">
        <f t="shared" si="3"/>
        <v>0</v>
      </c>
      <c r="K54" s="101">
        <f t="shared" si="3"/>
        <v>0</v>
      </c>
      <c r="L54" s="101">
        <f t="shared" si="3"/>
        <v>0</v>
      </c>
      <c r="O54" s="101">
        <f t="shared" si="4"/>
        <v>0</v>
      </c>
      <c r="P54" s="101">
        <f t="shared" si="4"/>
        <v>0</v>
      </c>
      <c r="Q54" s="101">
        <f t="shared" si="4"/>
        <v>0</v>
      </c>
      <c r="S54" s="101">
        <f t="shared" si="5"/>
        <v>0</v>
      </c>
      <c r="T54" s="101">
        <f t="shared" si="5"/>
        <v>0</v>
      </c>
    </row>
    <row r="55" spans="2:20" hidden="1" outlineLevel="2">
      <c r="B55">
        <f t="shared" si="2"/>
        <v>11</v>
      </c>
      <c r="C55" s="73" t="str">
        <v>SpareOfferA11</v>
      </c>
      <c r="G55" s="101">
        <f t="shared" ref="G55:L64" si="6">INDEX(per.sub.volumes.by.demand.descriptions,$B55,MATCH(G$44,demand.descriptions.short,0))</f>
        <v>0</v>
      </c>
      <c r="H55" s="101">
        <f t="shared" si="6"/>
        <v>0</v>
      </c>
      <c r="I55" s="101">
        <f t="shared" si="6"/>
        <v>0</v>
      </c>
      <c r="J55" s="101">
        <f t="shared" si="6"/>
        <v>0</v>
      </c>
      <c r="K55" s="101">
        <f t="shared" si="6"/>
        <v>0</v>
      </c>
      <c r="L55" s="101">
        <f t="shared" si="6"/>
        <v>0</v>
      </c>
      <c r="O55" s="101">
        <f t="shared" si="4"/>
        <v>0</v>
      </c>
      <c r="P55" s="101">
        <f t="shared" si="4"/>
        <v>0</v>
      </c>
      <c r="Q55" s="101">
        <f t="shared" si="4"/>
        <v>0</v>
      </c>
      <c r="S55" s="101">
        <f t="shared" si="5"/>
        <v>0</v>
      </c>
      <c r="T55" s="101">
        <f t="shared" si="5"/>
        <v>0</v>
      </c>
    </row>
    <row r="56" spans="2:20" hidden="1" outlineLevel="2">
      <c r="B56">
        <f t="shared" si="2"/>
        <v>12</v>
      </c>
      <c r="C56" s="73" t="str">
        <v>SpareOfferA12</v>
      </c>
      <c r="G56" s="101">
        <f t="shared" si="6"/>
        <v>0</v>
      </c>
      <c r="H56" s="101">
        <f t="shared" si="6"/>
        <v>0</v>
      </c>
      <c r="I56" s="101">
        <f t="shared" si="6"/>
        <v>0</v>
      </c>
      <c r="J56" s="101">
        <f t="shared" si="6"/>
        <v>0</v>
      </c>
      <c r="K56" s="101">
        <f t="shared" si="6"/>
        <v>0</v>
      </c>
      <c r="L56" s="101">
        <f t="shared" si="6"/>
        <v>0</v>
      </c>
      <c r="O56" s="101">
        <f t="shared" si="4"/>
        <v>0</v>
      </c>
      <c r="P56" s="101">
        <f t="shared" si="4"/>
        <v>0</v>
      </c>
      <c r="Q56" s="101">
        <f t="shared" si="4"/>
        <v>0</v>
      </c>
      <c r="S56" s="101">
        <f t="shared" si="5"/>
        <v>0</v>
      </c>
      <c r="T56" s="101">
        <f t="shared" si="5"/>
        <v>0</v>
      </c>
    </row>
    <row r="57" spans="2:20" hidden="1" outlineLevel="2">
      <c r="B57">
        <f t="shared" si="2"/>
        <v>13</v>
      </c>
      <c r="C57" s="73" t="str">
        <v>SpareOfferA13</v>
      </c>
      <c r="G57" s="101">
        <f t="shared" si="6"/>
        <v>0</v>
      </c>
      <c r="H57" s="101">
        <f t="shared" si="6"/>
        <v>0</v>
      </c>
      <c r="I57" s="101">
        <f t="shared" si="6"/>
        <v>0</v>
      </c>
      <c r="J57" s="101">
        <f t="shared" si="6"/>
        <v>0</v>
      </c>
      <c r="K57" s="101">
        <f t="shared" si="6"/>
        <v>0</v>
      </c>
      <c r="L57" s="101">
        <f t="shared" si="6"/>
        <v>0</v>
      </c>
      <c r="O57" s="101">
        <f t="shared" si="4"/>
        <v>0</v>
      </c>
      <c r="P57" s="101">
        <f t="shared" si="4"/>
        <v>0</v>
      </c>
      <c r="Q57" s="101">
        <f t="shared" si="4"/>
        <v>0</v>
      </c>
      <c r="S57" s="101">
        <f t="shared" si="5"/>
        <v>0</v>
      </c>
      <c r="T57" s="101">
        <f t="shared" si="5"/>
        <v>0</v>
      </c>
    </row>
    <row r="58" spans="2:20" hidden="1" outlineLevel="2">
      <c r="B58">
        <f t="shared" si="2"/>
        <v>14</v>
      </c>
      <c r="C58" s="73" t="str">
        <v>SpareOfferA14</v>
      </c>
      <c r="G58" s="101">
        <f t="shared" si="6"/>
        <v>0</v>
      </c>
      <c r="H58" s="101">
        <f t="shared" si="6"/>
        <v>0</v>
      </c>
      <c r="I58" s="101">
        <f t="shared" si="6"/>
        <v>0</v>
      </c>
      <c r="J58" s="101">
        <f t="shared" si="6"/>
        <v>0</v>
      </c>
      <c r="K58" s="101">
        <f t="shared" si="6"/>
        <v>0</v>
      </c>
      <c r="L58" s="101">
        <f t="shared" si="6"/>
        <v>0</v>
      </c>
      <c r="O58" s="101">
        <f t="shared" si="4"/>
        <v>0</v>
      </c>
      <c r="P58" s="101">
        <f t="shared" si="4"/>
        <v>0</v>
      </c>
      <c r="Q58" s="101">
        <f t="shared" si="4"/>
        <v>0</v>
      </c>
      <c r="S58" s="101">
        <f t="shared" si="5"/>
        <v>0</v>
      </c>
      <c r="T58" s="101">
        <f t="shared" si="5"/>
        <v>0</v>
      </c>
    </row>
    <row r="59" spans="2:20" hidden="1" outlineLevel="2">
      <c r="B59">
        <f t="shared" si="2"/>
        <v>15</v>
      </c>
      <c r="C59" s="73" t="str">
        <v>SpareOfferA15</v>
      </c>
      <c r="G59" s="101">
        <f t="shared" si="6"/>
        <v>0</v>
      </c>
      <c r="H59" s="101">
        <f t="shared" si="6"/>
        <v>0</v>
      </c>
      <c r="I59" s="101">
        <f t="shared" si="6"/>
        <v>0</v>
      </c>
      <c r="J59" s="101">
        <f t="shared" si="6"/>
        <v>0</v>
      </c>
      <c r="K59" s="101">
        <f t="shared" si="6"/>
        <v>0</v>
      </c>
      <c r="L59" s="101">
        <f t="shared" si="6"/>
        <v>0</v>
      </c>
      <c r="O59" s="101">
        <f t="shared" si="4"/>
        <v>0</v>
      </c>
      <c r="P59" s="101">
        <f t="shared" si="4"/>
        <v>0</v>
      </c>
      <c r="Q59" s="101">
        <f t="shared" si="4"/>
        <v>0</v>
      </c>
      <c r="S59" s="101">
        <f t="shared" si="5"/>
        <v>0</v>
      </c>
      <c r="T59" s="101">
        <f t="shared" si="5"/>
        <v>0</v>
      </c>
    </row>
    <row r="60" spans="2:20" hidden="1" outlineLevel="2">
      <c r="B60">
        <f t="shared" si="2"/>
        <v>16</v>
      </c>
      <c r="C60" s="73" t="str">
        <v>SpareOfferA16</v>
      </c>
      <c r="G60" s="101">
        <f t="shared" si="6"/>
        <v>0</v>
      </c>
      <c r="H60" s="101">
        <f t="shared" si="6"/>
        <v>0</v>
      </c>
      <c r="I60" s="101">
        <f t="shared" si="6"/>
        <v>0</v>
      </c>
      <c r="J60" s="101">
        <f t="shared" si="6"/>
        <v>0</v>
      </c>
      <c r="K60" s="101">
        <f t="shared" si="6"/>
        <v>0</v>
      </c>
      <c r="L60" s="101">
        <f t="shared" si="6"/>
        <v>0</v>
      </c>
      <c r="O60" s="101">
        <f t="shared" si="4"/>
        <v>0</v>
      </c>
      <c r="P60" s="101">
        <f t="shared" si="4"/>
        <v>0</v>
      </c>
      <c r="Q60" s="101">
        <f t="shared" si="4"/>
        <v>0</v>
      </c>
      <c r="S60" s="101">
        <f t="shared" si="5"/>
        <v>0</v>
      </c>
      <c r="T60" s="101">
        <f t="shared" si="5"/>
        <v>0</v>
      </c>
    </row>
    <row r="61" spans="2:20" hidden="1" outlineLevel="2">
      <c r="B61">
        <f t="shared" si="2"/>
        <v>17</v>
      </c>
      <c r="C61" s="73" t="str">
        <v>SpareOfferA17</v>
      </c>
      <c r="G61" s="101">
        <f t="shared" si="6"/>
        <v>0</v>
      </c>
      <c r="H61" s="101">
        <f t="shared" si="6"/>
        <v>0</v>
      </c>
      <c r="I61" s="101">
        <f t="shared" si="6"/>
        <v>0</v>
      </c>
      <c r="J61" s="101">
        <f t="shared" si="6"/>
        <v>0</v>
      </c>
      <c r="K61" s="101">
        <f t="shared" si="6"/>
        <v>0</v>
      </c>
      <c r="L61" s="101">
        <f t="shared" si="6"/>
        <v>0</v>
      </c>
      <c r="O61" s="101">
        <f t="shared" si="4"/>
        <v>0</v>
      </c>
      <c r="P61" s="101">
        <f t="shared" si="4"/>
        <v>0</v>
      </c>
      <c r="Q61" s="101">
        <f t="shared" si="4"/>
        <v>0</v>
      </c>
      <c r="S61" s="101">
        <f t="shared" si="5"/>
        <v>0</v>
      </c>
      <c r="T61" s="101">
        <f t="shared" si="5"/>
        <v>0</v>
      </c>
    </row>
    <row r="62" spans="2:20" hidden="1" outlineLevel="2">
      <c r="B62">
        <f t="shared" si="2"/>
        <v>18</v>
      </c>
      <c r="C62" s="73" t="str">
        <v>SpareOfferA18</v>
      </c>
      <c r="G62" s="101">
        <f t="shared" si="6"/>
        <v>0</v>
      </c>
      <c r="H62" s="101">
        <f t="shared" si="6"/>
        <v>0</v>
      </c>
      <c r="I62" s="101">
        <f t="shared" si="6"/>
        <v>0</v>
      </c>
      <c r="J62" s="101">
        <f t="shared" si="6"/>
        <v>0</v>
      </c>
      <c r="K62" s="101">
        <f t="shared" si="6"/>
        <v>0</v>
      </c>
      <c r="L62" s="101">
        <f t="shared" si="6"/>
        <v>0</v>
      </c>
      <c r="O62" s="101">
        <f t="shared" si="4"/>
        <v>0</v>
      </c>
      <c r="P62" s="101">
        <f t="shared" si="4"/>
        <v>0</v>
      </c>
      <c r="Q62" s="101">
        <f t="shared" si="4"/>
        <v>0</v>
      </c>
      <c r="S62" s="101">
        <f t="shared" si="5"/>
        <v>0</v>
      </c>
      <c r="T62" s="101">
        <f t="shared" si="5"/>
        <v>0</v>
      </c>
    </row>
    <row r="63" spans="2:20" hidden="1" outlineLevel="2">
      <c r="B63">
        <f t="shared" si="2"/>
        <v>19</v>
      </c>
      <c r="C63" s="73" t="str">
        <v>SpareOfferA19</v>
      </c>
      <c r="G63" s="101">
        <f t="shared" si="6"/>
        <v>0</v>
      </c>
      <c r="H63" s="101">
        <f t="shared" si="6"/>
        <v>0</v>
      </c>
      <c r="I63" s="101">
        <f t="shared" si="6"/>
        <v>0</v>
      </c>
      <c r="J63" s="101">
        <f t="shared" si="6"/>
        <v>0</v>
      </c>
      <c r="K63" s="101">
        <f t="shared" si="6"/>
        <v>0</v>
      </c>
      <c r="L63" s="101">
        <f t="shared" si="6"/>
        <v>0</v>
      </c>
      <c r="O63" s="101">
        <f t="shared" si="4"/>
        <v>0</v>
      </c>
      <c r="P63" s="101">
        <f t="shared" si="4"/>
        <v>0</v>
      </c>
      <c r="Q63" s="101">
        <f t="shared" si="4"/>
        <v>0</v>
      </c>
      <c r="S63" s="101">
        <f t="shared" si="5"/>
        <v>0</v>
      </c>
      <c r="T63" s="101">
        <f t="shared" si="5"/>
        <v>0</v>
      </c>
    </row>
    <row r="64" spans="2:20" hidden="1" outlineLevel="2">
      <c r="B64">
        <f t="shared" si="2"/>
        <v>20</v>
      </c>
      <c r="C64" s="73" t="str">
        <v>SpareOfferA20</v>
      </c>
      <c r="G64" s="101">
        <f t="shared" si="6"/>
        <v>0</v>
      </c>
      <c r="H64" s="101">
        <f t="shared" si="6"/>
        <v>0</v>
      </c>
      <c r="I64" s="101">
        <f t="shared" si="6"/>
        <v>0</v>
      </c>
      <c r="J64" s="101">
        <f t="shared" si="6"/>
        <v>0</v>
      </c>
      <c r="K64" s="101">
        <f t="shared" si="6"/>
        <v>0</v>
      </c>
      <c r="L64" s="101">
        <f t="shared" si="6"/>
        <v>0</v>
      </c>
      <c r="O64" s="101">
        <f t="shared" si="4"/>
        <v>0</v>
      </c>
      <c r="P64" s="101">
        <f t="shared" si="4"/>
        <v>0</v>
      </c>
      <c r="Q64" s="101">
        <f t="shared" si="4"/>
        <v>0</v>
      </c>
      <c r="S64" s="101">
        <f t="shared" si="5"/>
        <v>0</v>
      </c>
      <c r="T64" s="101">
        <f t="shared" si="5"/>
        <v>0</v>
      </c>
    </row>
    <row r="65" spans="2:20" hidden="1" outlineLevel="2">
      <c r="B65">
        <f t="shared" si="2"/>
        <v>21</v>
      </c>
      <c r="C65" s="73" t="str">
        <v>SpareOfferA21</v>
      </c>
      <c r="G65" s="101">
        <f t="shared" ref="G65:L79" si="7">INDEX(per.sub.volumes.by.demand.descriptions,$B65,MATCH(G$44,demand.descriptions.short,0))</f>
        <v>0</v>
      </c>
      <c r="H65" s="101">
        <f t="shared" si="7"/>
        <v>0</v>
      </c>
      <c r="I65" s="101">
        <f t="shared" si="7"/>
        <v>0</v>
      </c>
      <c r="J65" s="101">
        <f t="shared" si="7"/>
        <v>0</v>
      </c>
      <c r="K65" s="101">
        <f t="shared" si="7"/>
        <v>0</v>
      </c>
      <c r="L65" s="101">
        <f t="shared" si="7"/>
        <v>0</v>
      </c>
      <c r="O65" s="101">
        <f t="shared" ref="O65:Q79" si="8">INDEX(per.sub.volumes.by.demand.descriptions,$B65,MATCH(O$44,demand.descriptions.short,0))</f>
        <v>0</v>
      </c>
      <c r="P65" s="101">
        <f t="shared" si="8"/>
        <v>0</v>
      </c>
      <c r="Q65" s="101">
        <f t="shared" si="8"/>
        <v>0</v>
      </c>
      <c r="S65" s="101">
        <f t="shared" ref="S65:T79" si="9">INDEX(per.sub.volumes.by.demand.descriptions,$B65,MATCH(S$44,demand.descriptions.short,0))</f>
        <v>0</v>
      </c>
      <c r="T65" s="101">
        <f t="shared" si="9"/>
        <v>0</v>
      </c>
    </row>
    <row r="66" spans="2:20" hidden="1" outlineLevel="2">
      <c r="B66">
        <f t="shared" si="2"/>
        <v>22</v>
      </c>
      <c r="C66" s="73" t="str">
        <v>SpareOfferA22</v>
      </c>
      <c r="G66" s="101">
        <f t="shared" si="7"/>
        <v>0</v>
      </c>
      <c r="H66" s="101">
        <f t="shared" si="7"/>
        <v>0</v>
      </c>
      <c r="I66" s="101">
        <f t="shared" si="7"/>
        <v>0</v>
      </c>
      <c r="J66" s="101">
        <f t="shared" si="7"/>
        <v>0</v>
      </c>
      <c r="K66" s="101">
        <f t="shared" si="7"/>
        <v>0</v>
      </c>
      <c r="L66" s="101">
        <f t="shared" si="7"/>
        <v>0</v>
      </c>
      <c r="O66" s="101">
        <f t="shared" si="8"/>
        <v>0</v>
      </c>
      <c r="P66" s="101">
        <f t="shared" si="8"/>
        <v>0</v>
      </c>
      <c r="Q66" s="101">
        <f t="shared" si="8"/>
        <v>0</v>
      </c>
      <c r="S66" s="101">
        <f t="shared" si="9"/>
        <v>0</v>
      </c>
      <c r="T66" s="101">
        <f t="shared" si="9"/>
        <v>0</v>
      </c>
    </row>
    <row r="67" spans="2:20" hidden="1" outlineLevel="2">
      <c r="B67">
        <f t="shared" si="2"/>
        <v>23</v>
      </c>
      <c r="C67" s="73" t="str">
        <v>SpareOfferA23</v>
      </c>
      <c r="G67" s="101">
        <f t="shared" si="7"/>
        <v>0</v>
      </c>
      <c r="H67" s="101">
        <f t="shared" si="7"/>
        <v>0</v>
      </c>
      <c r="I67" s="101">
        <f t="shared" si="7"/>
        <v>0</v>
      </c>
      <c r="J67" s="101">
        <f t="shared" si="7"/>
        <v>0</v>
      </c>
      <c r="K67" s="101">
        <f t="shared" si="7"/>
        <v>0</v>
      </c>
      <c r="L67" s="101">
        <f t="shared" si="7"/>
        <v>0</v>
      </c>
      <c r="O67" s="101">
        <f t="shared" si="8"/>
        <v>0</v>
      </c>
      <c r="P67" s="101">
        <f t="shared" si="8"/>
        <v>0</v>
      </c>
      <c r="Q67" s="101">
        <f t="shared" si="8"/>
        <v>0</v>
      </c>
      <c r="S67" s="101">
        <f t="shared" si="9"/>
        <v>0</v>
      </c>
      <c r="T67" s="101">
        <f t="shared" si="9"/>
        <v>0</v>
      </c>
    </row>
    <row r="68" spans="2:20" hidden="1" outlineLevel="2">
      <c r="B68">
        <f t="shared" si="2"/>
        <v>24</v>
      </c>
      <c r="C68" s="73" t="str">
        <v>SpareOfferA24</v>
      </c>
      <c r="G68" s="101">
        <f t="shared" si="7"/>
        <v>0</v>
      </c>
      <c r="H68" s="101">
        <f t="shared" si="7"/>
        <v>0</v>
      </c>
      <c r="I68" s="101">
        <f t="shared" si="7"/>
        <v>0</v>
      </c>
      <c r="J68" s="101">
        <f t="shared" si="7"/>
        <v>0</v>
      </c>
      <c r="K68" s="101">
        <f t="shared" si="7"/>
        <v>0</v>
      </c>
      <c r="L68" s="101">
        <f t="shared" si="7"/>
        <v>0</v>
      </c>
      <c r="O68" s="101">
        <f t="shared" si="8"/>
        <v>0</v>
      </c>
      <c r="P68" s="101">
        <f t="shared" si="8"/>
        <v>0</v>
      </c>
      <c r="Q68" s="101">
        <f t="shared" si="8"/>
        <v>0</v>
      </c>
      <c r="S68" s="101">
        <f t="shared" si="9"/>
        <v>0</v>
      </c>
      <c r="T68" s="101">
        <f t="shared" si="9"/>
        <v>0</v>
      </c>
    </row>
    <row r="69" spans="2:20" hidden="1" outlineLevel="2">
      <c r="B69">
        <f t="shared" si="2"/>
        <v>25</v>
      </c>
      <c r="C69" s="73" t="str">
        <v>SpareOfferA25</v>
      </c>
      <c r="G69" s="101">
        <f t="shared" si="7"/>
        <v>0</v>
      </c>
      <c r="H69" s="101">
        <f t="shared" si="7"/>
        <v>0</v>
      </c>
      <c r="I69" s="101">
        <f t="shared" si="7"/>
        <v>0</v>
      </c>
      <c r="J69" s="101">
        <f t="shared" si="7"/>
        <v>0</v>
      </c>
      <c r="K69" s="101">
        <f t="shared" si="7"/>
        <v>0</v>
      </c>
      <c r="L69" s="101">
        <f t="shared" si="7"/>
        <v>0</v>
      </c>
      <c r="O69" s="101">
        <f t="shared" si="8"/>
        <v>0</v>
      </c>
      <c r="P69" s="101">
        <f t="shared" si="8"/>
        <v>0</v>
      </c>
      <c r="Q69" s="101">
        <f t="shared" si="8"/>
        <v>0</v>
      </c>
      <c r="S69" s="101">
        <f t="shared" si="9"/>
        <v>0</v>
      </c>
      <c r="T69" s="101">
        <f t="shared" si="9"/>
        <v>0</v>
      </c>
    </row>
    <row r="70" spans="2:20" hidden="1" outlineLevel="2">
      <c r="B70">
        <f t="shared" si="2"/>
        <v>26</v>
      </c>
      <c r="C70" s="73" t="str">
        <v>SpareOfferA26</v>
      </c>
      <c r="G70" s="101">
        <f t="shared" si="7"/>
        <v>0</v>
      </c>
      <c r="H70" s="101">
        <f t="shared" si="7"/>
        <v>0</v>
      </c>
      <c r="I70" s="101">
        <f t="shared" si="7"/>
        <v>0</v>
      </c>
      <c r="J70" s="101">
        <f t="shared" si="7"/>
        <v>0</v>
      </c>
      <c r="K70" s="101">
        <f t="shared" si="7"/>
        <v>0</v>
      </c>
      <c r="L70" s="101">
        <f t="shared" si="7"/>
        <v>0</v>
      </c>
      <c r="O70" s="101">
        <f t="shared" si="8"/>
        <v>0</v>
      </c>
      <c r="P70" s="101">
        <f t="shared" si="8"/>
        <v>0</v>
      </c>
      <c r="Q70" s="101">
        <f t="shared" si="8"/>
        <v>0</v>
      </c>
      <c r="S70" s="101">
        <f t="shared" si="9"/>
        <v>0</v>
      </c>
      <c r="T70" s="101">
        <f t="shared" si="9"/>
        <v>0</v>
      </c>
    </row>
    <row r="71" spans="2:20" hidden="1" outlineLevel="2">
      <c r="B71">
        <f t="shared" si="2"/>
        <v>27</v>
      </c>
      <c r="C71" s="73" t="str">
        <v>SpareOfferA27</v>
      </c>
      <c r="G71" s="101">
        <f t="shared" si="7"/>
        <v>0</v>
      </c>
      <c r="H71" s="101">
        <f t="shared" si="7"/>
        <v>0</v>
      </c>
      <c r="I71" s="101">
        <f t="shared" si="7"/>
        <v>0</v>
      </c>
      <c r="J71" s="101">
        <f t="shared" si="7"/>
        <v>0</v>
      </c>
      <c r="K71" s="101">
        <f t="shared" si="7"/>
        <v>0</v>
      </c>
      <c r="L71" s="101">
        <f t="shared" si="7"/>
        <v>0</v>
      </c>
      <c r="O71" s="101">
        <f t="shared" si="8"/>
        <v>0</v>
      </c>
      <c r="P71" s="101">
        <f t="shared" si="8"/>
        <v>0</v>
      </c>
      <c r="Q71" s="101">
        <f t="shared" si="8"/>
        <v>0</v>
      </c>
      <c r="S71" s="101">
        <f t="shared" si="9"/>
        <v>0</v>
      </c>
      <c r="T71" s="101">
        <f t="shared" si="9"/>
        <v>0</v>
      </c>
    </row>
    <row r="72" spans="2:20" hidden="1" outlineLevel="2">
      <c r="B72">
        <f t="shared" si="2"/>
        <v>28</v>
      </c>
      <c r="C72" s="73" t="str">
        <v>SpareOfferA28</v>
      </c>
      <c r="G72" s="101">
        <f t="shared" si="7"/>
        <v>0</v>
      </c>
      <c r="H72" s="101">
        <f t="shared" si="7"/>
        <v>0</v>
      </c>
      <c r="I72" s="101">
        <f t="shared" si="7"/>
        <v>0</v>
      </c>
      <c r="J72" s="101">
        <f t="shared" si="7"/>
        <v>0</v>
      </c>
      <c r="K72" s="101">
        <f t="shared" si="7"/>
        <v>0</v>
      </c>
      <c r="L72" s="101">
        <f t="shared" si="7"/>
        <v>0</v>
      </c>
      <c r="O72" s="101">
        <f t="shared" si="8"/>
        <v>0</v>
      </c>
      <c r="P72" s="101">
        <f t="shared" si="8"/>
        <v>0</v>
      </c>
      <c r="Q72" s="101">
        <f t="shared" si="8"/>
        <v>0</v>
      </c>
      <c r="S72" s="101">
        <f t="shared" si="9"/>
        <v>0</v>
      </c>
      <c r="T72" s="101">
        <f t="shared" si="9"/>
        <v>0</v>
      </c>
    </row>
    <row r="73" spans="2:20" hidden="1" outlineLevel="2">
      <c r="B73">
        <f t="shared" si="2"/>
        <v>29</v>
      </c>
      <c r="C73" s="73" t="str">
        <v>SpareOfferA29</v>
      </c>
      <c r="G73" s="101">
        <f t="shared" si="7"/>
        <v>0</v>
      </c>
      <c r="H73" s="101">
        <f t="shared" si="7"/>
        <v>0</v>
      </c>
      <c r="I73" s="101">
        <f t="shared" si="7"/>
        <v>0</v>
      </c>
      <c r="J73" s="101">
        <f t="shared" si="7"/>
        <v>0</v>
      </c>
      <c r="K73" s="101">
        <f t="shared" si="7"/>
        <v>0</v>
      </c>
      <c r="L73" s="101">
        <f t="shared" si="7"/>
        <v>0</v>
      </c>
      <c r="O73" s="101">
        <f t="shared" si="8"/>
        <v>0</v>
      </c>
      <c r="P73" s="101">
        <f t="shared" si="8"/>
        <v>0</v>
      </c>
      <c r="Q73" s="101">
        <f t="shared" si="8"/>
        <v>0</v>
      </c>
      <c r="S73" s="101">
        <f t="shared" si="9"/>
        <v>0</v>
      </c>
      <c r="T73" s="101">
        <f t="shared" si="9"/>
        <v>0</v>
      </c>
    </row>
    <row r="74" spans="2:20" hidden="1" outlineLevel="2">
      <c r="B74">
        <f t="shared" si="2"/>
        <v>30</v>
      </c>
      <c r="C74" s="73" t="str">
        <v>SpareOfferA30</v>
      </c>
      <c r="G74" s="101">
        <f t="shared" si="7"/>
        <v>0</v>
      </c>
      <c r="H74" s="101">
        <f t="shared" si="7"/>
        <v>0</v>
      </c>
      <c r="I74" s="101">
        <f t="shared" si="7"/>
        <v>0</v>
      </c>
      <c r="J74" s="101">
        <f t="shared" si="7"/>
        <v>0</v>
      </c>
      <c r="K74" s="101">
        <f t="shared" si="7"/>
        <v>0</v>
      </c>
      <c r="L74" s="101">
        <f t="shared" si="7"/>
        <v>0</v>
      </c>
      <c r="O74" s="101">
        <f t="shared" si="8"/>
        <v>0</v>
      </c>
      <c r="P74" s="101">
        <f t="shared" si="8"/>
        <v>0</v>
      </c>
      <c r="Q74" s="101">
        <f t="shared" si="8"/>
        <v>0</v>
      </c>
      <c r="S74" s="101">
        <f t="shared" si="9"/>
        <v>0</v>
      </c>
      <c r="T74" s="101">
        <f t="shared" si="9"/>
        <v>0</v>
      </c>
    </row>
    <row r="75" spans="2:20" hidden="1" outlineLevel="2">
      <c r="B75">
        <f t="shared" si="2"/>
        <v>31</v>
      </c>
      <c r="C75" s="73" t="str">
        <v>SpareOfferA31</v>
      </c>
      <c r="G75" s="101">
        <f t="shared" si="7"/>
        <v>0</v>
      </c>
      <c r="H75" s="101">
        <f t="shared" si="7"/>
        <v>0</v>
      </c>
      <c r="I75" s="101">
        <f t="shared" si="7"/>
        <v>0</v>
      </c>
      <c r="J75" s="101">
        <f t="shared" si="7"/>
        <v>0</v>
      </c>
      <c r="K75" s="101">
        <f t="shared" si="7"/>
        <v>0</v>
      </c>
      <c r="L75" s="101">
        <f t="shared" si="7"/>
        <v>0</v>
      </c>
      <c r="O75" s="101">
        <f t="shared" si="8"/>
        <v>0</v>
      </c>
      <c r="P75" s="101">
        <f t="shared" si="8"/>
        <v>0</v>
      </c>
      <c r="Q75" s="101">
        <f t="shared" si="8"/>
        <v>0</v>
      </c>
      <c r="S75" s="101">
        <f t="shared" si="9"/>
        <v>0</v>
      </c>
      <c r="T75" s="101">
        <f t="shared" si="9"/>
        <v>0</v>
      </c>
    </row>
    <row r="76" spans="2:20" hidden="1" outlineLevel="2">
      <c r="B76">
        <f t="shared" si="2"/>
        <v>32</v>
      </c>
      <c r="C76" s="73" t="str">
        <v>SpareOfferA32</v>
      </c>
      <c r="G76" s="101">
        <f t="shared" si="7"/>
        <v>0</v>
      </c>
      <c r="H76" s="101">
        <f t="shared" si="7"/>
        <v>0</v>
      </c>
      <c r="I76" s="101">
        <f t="shared" si="7"/>
        <v>0</v>
      </c>
      <c r="J76" s="101">
        <f t="shared" si="7"/>
        <v>0</v>
      </c>
      <c r="K76" s="101">
        <f t="shared" si="7"/>
        <v>0</v>
      </c>
      <c r="L76" s="101">
        <f t="shared" si="7"/>
        <v>0</v>
      </c>
      <c r="O76" s="101">
        <f t="shared" si="8"/>
        <v>0</v>
      </c>
      <c r="P76" s="101">
        <f t="shared" si="8"/>
        <v>0</v>
      </c>
      <c r="Q76" s="101">
        <f t="shared" si="8"/>
        <v>0</v>
      </c>
      <c r="S76" s="101">
        <f t="shared" si="9"/>
        <v>0</v>
      </c>
      <c r="T76" s="101">
        <f t="shared" si="9"/>
        <v>0</v>
      </c>
    </row>
    <row r="77" spans="2:20" hidden="1" outlineLevel="2">
      <c r="B77">
        <f t="shared" si="2"/>
        <v>33</v>
      </c>
      <c r="C77" s="73" t="str">
        <v>SpareOfferA33</v>
      </c>
      <c r="G77" s="101">
        <f t="shared" si="7"/>
        <v>0</v>
      </c>
      <c r="H77" s="101">
        <f t="shared" si="7"/>
        <v>0</v>
      </c>
      <c r="I77" s="101">
        <f t="shared" si="7"/>
        <v>0</v>
      </c>
      <c r="J77" s="101">
        <f t="shared" si="7"/>
        <v>0</v>
      </c>
      <c r="K77" s="101">
        <f t="shared" si="7"/>
        <v>0</v>
      </c>
      <c r="L77" s="101">
        <f t="shared" si="7"/>
        <v>0</v>
      </c>
      <c r="O77" s="101">
        <f t="shared" si="8"/>
        <v>0</v>
      </c>
      <c r="P77" s="101">
        <f t="shared" si="8"/>
        <v>0</v>
      </c>
      <c r="Q77" s="101">
        <f t="shared" si="8"/>
        <v>0</v>
      </c>
      <c r="S77" s="101">
        <f t="shared" si="9"/>
        <v>0</v>
      </c>
      <c r="T77" s="101">
        <f t="shared" si="9"/>
        <v>0</v>
      </c>
    </row>
    <row r="78" spans="2:20" hidden="1" outlineLevel="2">
      <c r="B78">
        <f t="shared" si="2"/>
        <v>34</v>
      </c>
      <c r="C78" s="73" t="str">
        <v>SpareOfferA34</v>
      </c>
      <c r="G78" s="101">
        <f t="shared" si="7"/>
        <v>0</v>
      </c>
      <c r="H78" s="101">
        <f t="shared" si="7"/>
        <v>0</v>
      </c>
      <c r="I78" s="101">
        <f t="shared" si="7"/>
        <v>0</v>
      </c>
      <c r="J78" s="101">
        <f t="shared" si="7"/>
        <v>0</v>
      </c>
      <c r="K78" s="101">
        <f t="shared" si="7"/>
        <v>0</v>
      </c>
      <c r="L78" s="101">
        <f t="shared" si="7"/>
        <v>0</v>
      </c>
      <c r="O78" s="101">
        <f t="shared" si="8"/>
        <v>0</v>
      </c>
      <c r="P78" s="101">
        <f t="shared" si="8"/>
        <v>0</v>
      </c>
      <c r="Q78" s="101">
        <f t="shared" si="8"/>
        <v>0</v>
      </c>
      <c r="S78" s="101">
        <f t="shared" si="9"/>
        <v>0</v>
      </c>
      <c r="T78" s="101">
        <f t="shared" si="9"/>
        <v>0</v>
      </c>
    </row>
    <row r="79" spans="2:20" outlineLevel="1" collapsed="1">
      <c r="B79">
        <f t="shared" si="2"/>
        <v>35</v>
      </c>
      <c r="C79" s="73" t="str">
        <v>SpareOfferA35</v>
      </c>
      <c r="G79" s="101">
        <f t="shared" si="7"/>
        <v>0</v>
      </c>
      <c r="H79" s="101">
        <f t="shared" si="7"/>
        <v>0</v>
      </c>
      <c r="I79" s="101">
        <f t="shared" si="7"/>
        <v>0</v>
      </c>
      <c r="J79" s="101">
        <f t="shared" si="7"/>
        <v>0</v>
      </c>
      <c r="K79" s="101">
        <f t="shared" si="7"/>
        <v>0</v>
      </c>
      <c r="L79" s="101">
        <f t="shared" si="7"/>
        <v>0</v>
      </c>
      <c r="O79" s="101">
        <f t="shared" si="8"/>
        <v>0</v>
      </c>
      <c r="P79" s="101">
        <f t="shared" si="8"/>
        <v>0</v>
      </c>
      <c r="Q79" s="101">
        <f t="shared" si="8"/>
        <v>0</v>
      </c>
      <c r="S79" s="101">
        <f t="shared" si="9"/>
        <v>0</v>
      </c>
      <c r="T79" s="101">
        <f t="shared" si="9"/>
        <v>0</v>
      </c>
    </row>
    <row r="80" spans="2:20" ht="12" outlineLevel="1">
      <c r="N80" s="90"/>
      <c r="O80" s="90"/>
      <c r="P80" s="90"/>
      <c r="S80" s="43" t="s">
        <v>498</v>
      </c>
      <c r="T80" s="43" t="s">
        <v>499</v>
      </c>
    </row>
    <row r="81" spans="3:22" outlineLevel="1">
      <c r="C81" s="35" t="s">
        <v>224</v>
      </c>
    </row>
    <row r="82" spans="3:22" ht="34.5" outlineLevel="1">
      <c r="C82" s="1" t="s">
        <v>309</v>
      </c>
      <c r="F82" s="95" t="s">
        <v>225</v>
      </c>
      <c r="G82" s="95" t="str">
        <f t="array" ref="G82:L82">TRANSPOSE(voice.destination)</f>
        <v>On-net</v>
      </c>
      <c r="H82" s="95" t="str">
        <v>Off-net fixed</v>
      </c>
      <c r="I82" s="95" t="str">
        <v>Off-net mobile</v>
      </c>
      <c r="J82" s="95" t="str">
        <v>International</v>
      </c>
      <c r="K82" s="1" t="str">
        <v>VAS</v>
      </c>
      <c r="L82" s="1" t="str">
        <v>Not used</v>
      </c>
      <c r="N82" s="95" t="s">
        <v>226</v>
      </c>
      <c r="O82" s="95" t="s">
        <v>156</v>
      </c>
      <c r="P82" s="95" t="s">
        <v>157</v>
      </c>
      <c r="Q82" s="95" t="s">
        <v>158</v>
      </c>
      <c r="R82" s="95" t="s">
        <v>159</v>
      </c>
      <c r="S82" s="95" t="s">
        <v>414</v>
      </c>
      <c r="T82" s="95" t="s">
        <v>415</v>
      </c>
      <c r="U82" s="111"/>
      <c r="V82" s="109" t="s">
        <v>166</v>
      </c>
    </row>
    <row r="83" spans="3:22" outlineLevel="1">
      <c r="C83" s="73" t="str">
        <f t="array" ref="C83:C117">offers.segment.1</f>
        <v>SpareOfferA1</v>
      </c>
      <c r="F83" s="136">
        <f>SUM(G83:L83)</f>
        <v>0</v>
      </c>
      <c r="G83" s="167">
        <f t="shared" ref="G83:I102" si="10">$G45*G7</f>
        <v>0</v>
      </c>
      <c r="H83" s="167">
        <f t="shared" si="10"/>
        <v>0</v>
      </c>
      <c r="I83" s="167">
        <f t="shared" si="10"/>
        <v>0</v>
      </c>
      <c r="J83" s="206">
        <f t="shared" ref="J83:J117" si="11">H45</f>
        <v>0</v>
      </c>
      <c r="K83" s="101">
        <f t="shared" ref="K83:K117" si="12">O45</f>
        <v>0</v>
      </c>
      <c r="L83" s="143"/>
      <c r="N83" s="136">
        <f>SUM(O83:T83)</f>
        <v>0</v>
      </c>
      <c r="O83" s="167">
        <f t="shared" ref="O83:Q102" si="13">$I45*O7</f>
        <v>0</v>
      </c>
      <c r="P83" s="167">
        <f t="shared" si="13"/>
        <v>0</v>
      </c>
      <c r="Q83" s="167">
        <f t="shared" si="13"/>
        <v>0</v>
      </c>
      <c r="R83" s="206">
        <f t="shared" ref="R83:R117" si="14">J45</f>
        <v>0</v>
      </c>
      <c r="S83" s="144">
        <f t="shared" ref="S83:S117" si="15">P45</f>
        <v>0</v>
      </c>
      <c r="T83" s="144">
        <f t="shared" ref="T83:T117" si="16">Q45</f>
        <v>0</v>
      </c>
      <c r="U83" s="111"/>
      <c r="V83" s="219">
        <f t="shared" ref="V83:V117" si="17">K45*(1+data.uplift.sensitivity)</f>
        <v>0</v>
      </c>
    </row>
    <row r="84" spans="3:22" hidden="1" outlineLevel="2">
      <c r="C84" s="73" t="str">
        <v>SpareOfferA2</v>
      </c>
      <c r="F84" s="136">
        <f t="shared" ref="F84:F117" si="18">SUM(G84:L84)</f>
        <v>0</v>
      </c>
      <c r="G84" s="167">
        <f t="shared" si="10"/>
        <v>0</v>
      </c>
      <c r="H84" s="167">
        <f t="shared" si="10"/>
        <v>0</v>
      </c>
      <c r="I84" s="167">
        <f t="shared" si="10"/>
        <v>0</v>
      </c>
      <c r="J84" s="206">
        <f t="shared" si="11"/>
        <v>0</v>
      </c>
      <c r="K84" s="101">
        <f t="shared" si="12"/>
        <v>0</v>
      </c>
      <c r="L84" s="143"/>
      <c r="N84" s="136">
        <f t="shared" ref="N84:N117" si="19">SUM(O84:T84)</f>
        <v>0</v>
      </c>
      <c r="O84" s="167">
        <f t="shared" si="13"/>
        <v>0</v>
      </c>
      <c r="P84" s="167">
        <f t="shared" si="13"/>
        <v>0</v>
      </c>
      <c r="Q84" s="167">
        <f t="shared" si="13"/>
        <v>0</v>
      </c>
      <c r="R84" s="206">
        <f t="shared" si="14"/>
        <v>0</v>
      </c>
      <c r="S84" s="144">
        <f t="shared" si="15"/>
        <v>0</v>
      </c>
      <c r="T84" s="144">
        <f t="shared" si="16"/>
        <v>0</v>
      </c>
      <c r="U84" s="111"/>
      <c r="V84" s="219">
        <f t="shared" si="17"/>
        <v>0</v>
      </c>
    </row>
    <row r="85" spans="3:22" hidden="1" outlineLevel="2">
      <c r="C85" s="73" t="str">
        <v>SpareOfferA3</v>
      </c>
      <c r="F85" s="136">
        <f t="shared" si="18"/>
        <v>0</v>
      </c>
      <c r="G85" s="167">
        <f t="shared" si="10"/>
        <v>0</v>
      </c>
      <c r="H85" s="167">
        <f t="shared" si="10"/>
        <v>0</v>
      </c>
      <c r="I85" s="167">
        <f t="shared" si="10"/>
        <v>0</v>
      </c>
      <c r="J85" s="206">
        <f t="shared" si="11"/>
        <v>0</v>
      </c>
      <c r="K85" s="101">
        <f t="shared" si="12"/>
        <v>0</v>
      </c>
      <c r="L85" s="143"/>
      <c r="N85" s="136">
        <f t="shared" si="19"/>
        <v>0</v>
      </c>
      <c r="O85" s="167">
        <f t="shared" si="13"/>
        <v>0</v>
      </c>
      <c r="P85" s="167">
        <f t="shared" si="13"/>
        <v>0</v>
      </c>
      <c r="Q85" s="167">
        <f t="shared" si="13"/>
        <v>0</v>
      </c>
      <c r="R85" s="206">
        <f t="shared" si="14"/>
        <v>0</v>
      </c>
      <c r="S85" s="144">
        <f t="shared" si="15"/>
        <v>0</v>
      </c>
      <c r="T85" s="144">
        <f t="shared" si="16"/>
        <v>0</v>
      </c>
      <c r="U85" s="111"/>
      <c r="V85" s="219">
        <f t="shared" si="17"/>
        <v>0</v>
      </c>
    </row>
    <row r="86" spans="3:22" hidden="1" outlineLevel="2">
      <c r="C86" s="73" t="str">
        <v>SpareOfferA4</v>
      </c>
      <c r="F86" s="136">
        <f t="shared" si="18"/>
        <v>0</v>
      </c>
      <c r="G86" s="167">
        <f t="shared" si="10"/>
        <v>0</v>
      </c>
      <c r="H86" s="167">
        <f t="shared" si="10"/>
        <v>0</v>
      </c>
      <c r="I86" s="167">
        <f t="shared" si="10"/>
        <v>0</v>
      </c>
      <c r="J86" s="206">
        <f t="shared" si="11"/>
        <v>0</v>
      </c>
      <c r="K86" s="101">
        <f t="shared" si="12"/>
        <v>0</v>
      </c>
      <c r="L86" s="143"/>
      <c r="N86" s="136">
        <f t="shared" si="19"/>
        <v>0</v>
      </c>
      <c r="O86" s="167">
        <f t="shared" si="13"/>
        <v>0</v>
      </c>
      <c r="P86" s="167">
        <f t="shared" si="13"/>
        <v>0</v>
      </c>
      <c r="Q86" s="167">
        <f t="shared" si="13"/>
        <v>0</v>
      </c>
      <c r="R86" s="206">
        <f t="shared" si="14"/>
        <v>0</v>
      </c>
      <c r="S86" s="144">
        <f t="shared" si="15"/>
        <v>0</v>
      </c>
      <c r="T86" s="144">
        <f t="shared" si="16"/>
        <v>0</v>
      </c>
      <c r="U86" s="111"/>
      <c r="V86" s="219">
        <f t="shared" si="17"/>
        <v>0</v>
      </c>
    </row>
    <row r="87" spans="3:22" hidden="1" outlineLevel="2">
      <c r="C87" s="73" t="str">
        <v>SpareOfferA5</v>
      </c>
      <c r="F87" s="136">
        <f t="shared" si="18"/>
        <v>0</v>
      </c>
      <c r="G87" s="167">
        <f t="shared" si="10"/>
        <v>0</v>
      </c>
      <c r="H87" s="167">
        <f t="shared" si="10"/>
        <v>0</v>
      </c>
      <c r="I87" s="167">
        <f t="shared" si="10"/>
        <v>0</v>
      </c>
      <c r="J87" s="206">
        <f t="shared" si="11"/>
        <v>0</v>
      </c>
      <c r="K87" s="101">
        <f t="shared" si="12"/>
        <v>0</v>
      </c>
      <c r="L87" s="143"/>
      <c r="N87" s="136">
        <f t="shared" si="19"/>
        <v>0</v>
      </c>
      <c r="O87" s="167">
        <f t="shared" si="13"/>
        <v>0</v>
      </c>
      <c r="P87" s="167">
        <f t="shared" si="13"/>
        <v>0</v>
      </c>
      <c r="Q87" s="167">
        <f t="shared" si="13"/>
        <v>0</v>
      </c>
      <c r="R87" s="206">
        <f t="shared" si="14"/>
        <v>0</v>
      </c>
      <c r="S87" s="144">
        <f t="shared" si="15"/>
        <v>0</v>
      </c>
      <c r="T87" s="144">
        <f t="shared" si="16"/>
        <v>0</v>
      </c>
      <c r="U87" s="111"/>
      <c r="V87" s="219">
        <f t="shared" si="17"/>
        <v>0</v>
      </c>
    </row>
    <row r="88" spans="3:22" hidden="1" outlineLevel="2">
      <c r="C88" s="73" t="str">
        <v>SpareOfferA6</v>
      </c>
      <c r="F88" s="136">
        <f t="shared" si="18"/>
        <v>0</v>
      </c>
      <c r="G88" s="167">
        <f t="shared" si="10"/>
        <v>0</v>
      </c>
      <c r="H88" s="167">
        <f t="shared" si="10"/>
        <v>0</v>
      </c>
      <c r="I88" s="167">
        <f t="shared" si="10"/>
        <v>0</v>
      </c>
      <c r="J88" s="206">
        <f t="shared" si="11"/>
        <v>0</v>
      </c>
      <c r="K88" s="101">
        <f t="shared" si="12"/>
        <v>0</v>
      </c>
      <c r="L88" s="143"/>
      <c r="N88" s="136">
        <f t="shared" si="19"/>
        <v>0</v>
      </c>
      <c r="O88" s="167">
        <f t="shared" si="13"/>
        <v>0</v>
      </c>
      <c r="P88" s="167">
        <f t="shared" si="13"/>
        <v>0</v>
      </c>
      <c r="Q88" s="167">
        <f t="shared" si="13"/>
        <v>0</v>
      </c>
      <c r="R88" s="206">
        <f t="shared" si="14"/>
        <v>0</v>
      </c>
      <c r="S88" s="144">
        <f t="shared" si="15"/>
        <v>0</v>
      </c>
      <c r="T88" s="144">
        <f t="shared" si="16"/>
        <v>0</v>
      </c>
      <c r="U88" s="111"/>
      <c r="V88" s="219">
        <f t="shared" si="17"/>
        <v>0</v>
      </c>
    </row>
    <row r="89" spans="3:22" hidden="1" outlineLevel="2">
      <c r="C89" s="73" t="str">
        <v>SpareOfferA7</v>
      </c>
      <c r="F89" s="136">
        <f t="shared" si="18"/>
        <v>0</v>
      </c>
      <c r="G89" s="167">
        <f t="shared" si="10"/>
        <v>0</v>
      </c>
      <c r="H89" s="167">
        <f t="shared" si="10"/>
        <v>0</v>
      </c>
      <c r="I89" s="167">
        <f t="shared" si="10"/>
        <v>0</v>
      </c>
      <c r="J89" s="206">
        <f t="shared" si="11"/>
        <v>0</v>
      </c>
      <c r="K89" s="101">
        <f t="shared" si="12"/>
        <v>0</v>
      </c>
      <c r="L89" s="143"/>
      <c r="N89" s="136">
        <f t="shared" si="19"/>
        <v>0</v>
      </c>
      <c r="O89" s="167">
        <f t="shared" si="13"/>
        <v>0</v>
      </c>
      <c r="P89" s="167">
        <f t="shared" si="13"/>
        <v>0</v>
      </c>
      <c r="Q89" s="167">
        <f t="shared" si="13"/>
        <v>0</v>
      </c>
      <c r="R89" s="206">
        <f t="shared" si="14"/>
        <v>0</v>
      </c>
      <c r="S89" s="144">
        <f t="shared" si="15"/>
        <v>0</v>
      </c>
      <c r="T89" s="144">
        <f t="shared" si="16"/>
        <v>0</v>
      </c>
      <c r="U89" s="111"/>
      <c r="V89" s="219">
        <f t="shared" si="17"/>
        <v>0</v>
      </c>
    </row>
    <row r="90" spans="3:22" hidden="1" outlineLevel="2">
      <c r="C90" s="73" t="str">
        <v>SpareOfferA8</v>
      </c>
      <c r="F90" s="136">
        <f t="shared" si="18"/>
        <v>0</v>
      </c>
      <c r="G90" s="167">
        <f t="shared" si="10"/>
        <v>0</v>
      </c>
      <c r="H90" s="167">
        <f t="shared" si="10"/>
        <v>0</v>
      </c>
      <c r="I90" s="167">
        <f t="shared" si="10"/>
        <v>0</v>
      </c>
      <c r="J90" s="206">
        <f t="shared" si="11"/>
        <v>0</v>
      </c>
      <c r="K90" s="101">
        <f t="shared" si="12"/>
        <v>0</v>
      </c>
      <c r="L90" s="143"/>
      <c r="N90" s="136">
        <f t="shared" si="19"/>
        <v>0</v>
      </c>
      <c r="O90" s="167">
        <f t="shared" si="13"/>
        <v>0</v>
      </c>
      <c r="P90" s="167">
        <f t="shared" si="13"/>
        <v>0</v>
      </c>
      <c r="Q90" s="167">
        <f t="shared" si="13"/>
        <v>0</v>
      </c>
      <c r="R90" s="206">
        <f t="shared" si="14"/>
        <v>0</v>
      </c>
      <c r="S90" s="144">
        <f t="shared" si="15"/>
        <v>0</v>
      </c>
      <c r="T90" s="144">
        <f t="shared" si="16"/>
        <v>0</v>
      </c>
      <c r="U90" s="111"/>
      <c r="V90" s="219">
        <f t="shared" si="17"/>
        <v>0</v>
      </c>
    </row>
    <row r="91" spans="3:22" hidden="1" outlineLevel="2">
      <c r="C91" s="73" t="str">
        <v>SpareOfferA9</v>
      </c>
      <c r="F91" s="136">
        <f t="shared" si="18"/>
        <v>0</v>
      </c>
      <c r="G91" s="167">
        <f t="shared" si="10"/>
        <v>0</v>
      </c>
      <c r="H91" s="167">
        <f t="shared" si="10"/>
        <v>0</v>
      </c>
      <c r="I91" s="167">
        <f t="shared" si="10"/>
        <v>0</v>
      </c>
      <c r="J91" s="206">
        <f t="shared" si="11"/>
        <v>0</v>
      </c>
      <c r="K91" s="101">
        <f t="shared" si="12"/>
        <v>0</v>
      </c>
      <c r="L91" s="143"/>
      <c r="N91" s="136">
        <f t="shared" si="19"/>
        <v>0</v>
      </c>
      <c r="O91" s="167">
        <f t="shared" si="13"/>
        <v>0</v>
      </c>
      <c r="P91" s="167">
        <f t="shared" si="13"/>
        <v>0</v>
      </c>
      <c r="Q91" s="167">
        <f t="shared" si="13"/>
        <v>0</v>
      </c>
      <c r="R91" s="206">
        <f t="shared" si="14"/>
        <v>0</v>
      </c>
      <c r="S91" s="144">
        <f t="shared" si="15"/>
        <v>0</v>
      </c>
      <c r="T91" s="144">
        <f t="shared" si="16"/>
        <v>0</v>
      </c>
      <c r="U91" s="111"/>
      <c r="V91" s="219">
        <f t="shared" si="17"/>
        <v>0</v>
      </c>
    </row>
    <row r="92" spans="3:22" hidden="1" outlineLevel="2">
      <c r="C92" s="73" t="str">
        <v>SpareOfferA10</v>
      </c>
      <c r="F92" s="136">
        <f t="shared" si="18"/>
        <v>0</v>
      </c>
      <c r="G92" s="167">
        <f t="shared" si="10"/>
        <v>0</v>
      </c>
      <c r="H92" s="167">
        <f t="shared" si="10"/>
        <v>0</v>
      </c>
      <c r="I92" s="167">
        <f t="shared" si="10"/>
        <v>0</v>
      </c>
      <c r="J92" s="206">
        <f t="shared" si="11"/>
        <v>0</v>
      </c>
      <c r="K92" s="101">
        <f t="shared" si="12"/>
        <v>0</v>
      </c>
      <c r="L92" s="143"/>
      <c r="N92" s="136">
        <f t="shared" si="19"/>
        <v>0</v>
      </c>
      <c r="O92" s="167">
        <f t="shared" si="13"/>
        <v>0</v>
      </c>
      <c r="P92" s="167">
        <f t="shared" si="13"/>
        <v>0</v>
      </c>
      <c r="Q92" s="167">
        <f t="shared" si="13"/>
        <v>0</v>
      </c>
      <c r="R92" s="206">
        <f t="shared" si="14"/>
        <v>0</v>
      </c>
      <c r="S92" s="144">
        <f t="shared" si="15"/>
        <v>0</v>
      </c>
      <c r="T92" s="144">
        <f t="shared" si="16"/>
        <v>0</v>
      </c>
      <c r="U92" s="111"/>
      <c r="V92" s="219">
        <f t="shared" si="17"/>
        <v>0</v>
      </c>
    </row>
    <row r="93" spans="3:22" hidden="1" outlineLevel="2">
      <c r="C93" s="73" t="str">
        <v>SpareOfferA11</v>
      </c>
      <c r="F93" s="136">
        <f t="shared" si="18"/>
        <v>0</v>
      </c>
      <c r="G93" s="167">
        <f t="shared" si="10"/>
        <v>0</v>
      </c>
      <c r="H93" s="167">
        <f t="shared" si="10"/>
        <v>0</v>
      </c>
      <c r="I93" s="167">
        <f t="shared" si="10"/>
        <v>0</v>
      </c>
      <c r="J93" s="206">
        <f t="shared" si="11"/>
        <v>0</v>
      </c>
      <c r="K93" s="101">
        <f t="shared" si="12"/>
        <v>0</v>
      </c>
      <c r="L93" s="143"/>
      <c r="N93" s="136">
        <f t="shared" si="19"/>
        <v>0</v>
      </c>
      <c r="O93" s="167">
        <f t="shared" si="13"/>
        <v>0</v>
      </c>
      <c r="P93" s="167">
        <f t="shared" si="13"/>
        <v>0</v>
      </c>
      <c r="Q93" s="167">
        <f t="shared" si="13"/>
        <v>0</v>
      </c>
      <c r="R93" s="206">
        <f t="shared" si="14"/>
        <v>0</v>
      </c>
      <c r="S93" s="144">
        <f t="shared" si="15"/>
        <v>0</v>
      </c>
      <c r="T93" s="144">
        <f t="shared" si="16"/>
        <v>0</v>
      </c>
      <c r="U93" s="111"/>
      <c r="V93" s="219">
        <f t="shared" si="17"/>
        <v>0</v>
      </c>
    </row>
    <row r="94" spans="3:22" hidden="1" outlineLevel="2">
      <c r="C94" s="73" t="str">
        <v>SpareOfferA12</v>
      </c>
      <c r="F94" s="136">
        <f t="shared" si="18"/>
        <v>0</v>
      </c>
      <c r="G94" s="167">
        <f t="shared" si="10"/>
        <v>0</v>
      </c>
      <c r="H94" s="167">
        <f t="shared" si="10"/>
        <v>0</v>
      </c>
      <c r="I94" s="167">
        <f t="shared" si="10"/>
        <v>0</v>
      </c>
      <c r="J94" s="206">
        <f t="shared" si="11"/>
        <v>0</v>
      </c>
      <c r="K94" s="101">
        <f t="shared" si="12"/>
        <v>0</v>
      </c>
      <c r="L94" s="143"/>
      <c r="N94" s="136">
        <f t="shared" si="19"/>
        <v>0</v>
      </c>
      <c r="O94" s="167">
        <f t="shared" si="13"/>
        <v>0</v>
      </c>
      <c r="P94" s="167">
        <f t="shared" si="13"/>
        <v>0</v>
      </c>
      <c r="Q94" s="167">
        <f t="shared" si="13"/>
        <v>0</v>
      </c>
      <c r="R94" s="206">
        <f t="shared" si="14"/>
        <v>0</v>
      </c>
      <c r="S94" s="144">
        <f t="shared" si="15"/>
        <v>0</v>
      </c>
      <c r="T94" s="144">
        <f t="shared" si="16"/>
        <v>0</v>
      </c>
      <c r="U94" s="111"/>
      <c r="V94" s="219">
        <f t="shared" si="17"/>
        <v>0</v>
      </c>
    </row>
    <row r="95" spans="3:22" hidden="1" outlineLevel="2">
      <c r="C95" s="73" t="str">
        <v>SpareOfferA13</v>
      </c>
      <c r="F95" s="136">
        <f t="shared" si="18"/>
        <v>0</v>
      </c>
      <c r="G95" s="167">
        <f t="shared" si="10"/>
        <v>0</v>
      </c>
      <c r="H95" s="167">
        <f t="shared" si="10"/>
        <v>0</v>
      </c>
      <c r="I95" s="167">
        <f t="shared" si="10"/>
        <v>0</v>
      </c>
      <c r="J95" s="206">
        <f t="shared" si="11"/>
        <v>0</v>
      </c>
      <c r="K95" s="101">
        <f t="shared" si="12"/>
        <v>0</v>
      </c>
      <c r="L95" s="143"/>
      <c r="N95" s="136">
        <f t="shared" si="19"/>
        <v>0</v>
      </c>
      <c r="O95" s="167">
        <f t="shared" si="13"/>
        <v>0</v>
      </c>
      <c r="P95" s="167">
        <f t="shared" si="13"/>
        <v>0</v>
      </c>
      <c r="Q95" s="167">
        <f t="shared" si="13"/>
        <v>0</v>
      </c>
      <c r="R95" s="206">
        <f t="shared" si="14"/>
        <v>0</v>
      </c>
      <c r="S95" s="144">
        <f t="shared" si="15"/>
        <v>0</v>
      </c>
      <c r="T95" s="144">
        <f t="shared" si="16"/>
        <v>0</v>
      </c>
      <c r="U95" s="111"/>
      <c r="V95" s="219">
        <f t="shared" si="17"/>
        <v>0</v>
      </c>
    </row>
    <row r="96" spans="3:22" hidden="1" outlineLevel="2">
      <c r="C96" s="73" t="str">
        <v>SpareOfferA14</v>
      </c>
      <c r="F96" s="136">
        <f t="shared" si="18"/>
        <v>0</v>
      </c>
      <c r="G96" s="167">
        <f t="shared" si="10"/>
        <v>0</v>
      </c>
      <c r="H96" s="167">
        <f t="shared" si="10"/>
        <v>0</v>
      </c>
      <c r="I96" s="167">
        <f t="shared" si="10"/>
        <v>0</v>
      </c>
      <c r="J96" s="206">
        <f t="shared" si="11"/>
        <v>0</v>
      </c>
      <c r="K96" s="101">
        <f t="shared" si="12"/>
        <v>0</v>
      </c>
      <c r="L96" s="143"/>
      <c r="N96" s="136">
        <f t="shared" si="19"/>
        <v>0</v>
      </c>
      <c r="O96" s="167">
        <f t="shared" si="13"/>
        <v>0</v>
      </c>
      <c r="P96" s="167">
        <f t="shared" si="13"/>
        <v>0</v>
      </c>
      <c r="Q96" s="167">
        <f t="shared" si="13"/>
        <v>0</v>
      </c>
      <c r="R96" s="206">
        <f t="shared" si="14"/>
        <v>0</v>
      </c>
      <c r="S96" s="144">
        <f t="shared" si="15"/>
        <v>0</v>
      </c>
      <c r="T96" s="144">
        <f t="shared" si="16"/>
        <v>0</v>
      </c>
      <c r="U96" s="111"/>
      <c r="V96" s="219">
        <f t="shared" si="17"/>
        <v>0</v>
      </c>
    </row>
    <row r="97" spans="3:22" hidden="1" outlineLevel="2">
      <c r="C97" s="73" t="str">
        <v>SpareOfferA15</v>
      </c>
      <c r="F97" s="136">
        <f t="shared" si="18"/>
        <v>0</v>
      </c>
      <c r="G97" s="167">
        <f t="shared" si="10"/>
        <v>0</v>
      </c>
      <c r="H97" s="167">
        <f t="shared" si="10"/>
        <v>0</v>
      </c>
      <c r="I97" s="167">
        <f t="shared" si="10"/>
        <v>0</v>
      </c>
      <c r="J97" s="206">
        <f t="shared" si="11"/>
        <v>0</v>
      </c>
      <c r="K97" s="101">
        <f t="shared" si="12"/>
        <v>0</v>
      </c>
      <c r="L97" s="143"/>
      <c r="N97" s="136">
        <f t="shared" si="19"/>
        <v>0</v>
      </c>
      <c r="O97" s="167">
        <f t="shared" si="13"/>
        <v>0</v>
      </c>
      <c r="P97" s="167">
        <f t="shared" si="13"/>
        <v>0</v>
      </c>
      <c r="Q97" s="167">
        <f t="shared" si="13"/>
        <v>0</v>
      </c>
      <c r="R97" s="206">
        <f t="shared" si="14"/>
        <v>0</v>
      </c>
      <c r="S97" s="144">
        <f t="shared" si="15"/>
        <v>0</v>
      </c>
      <c r="T97" s="144">
        <f t="shared" si="16"/>
        <v>0</v>
      </c>
      <c r="U97" s="111"/>
      <c r="V97" s="219">
        <f t="shared" si="17"/>
        <v>0</v>
      </c>
    </row>
    <row r="98" spans="3:22" hidden="1" outlineLevel="2">
      <c r="C98" s="73" t="str">
        <v>SpareOfferA16</v>
      </c>
      <c r="F98" s="136">
        <f t="shared" si="18"/>
        <v>0</v>
      </c>
      <c r="G98" s="167">
        <f t="shared" si="10"/>
        <v>0</v>
      </c>
      <c r="H98" s="167">
        <f t="shared" si="10"/>
        <v>0</v>
      </c>
      <c r="I98" s="167">
        <f t="shared" si="10"/>
        <v>0</v>
      </c>
      <c r="J98" s="206">
        <f t="shared" si="11"/>
        <v>0</v>
      </c>
      <c r="K98" s="101">
        <f t="shared" si="12"/>
        <v>0</v>
      </c>
      <c r="L98" s="143"/>
      <c r="N98" s="136">
        <f t="shared" si="19"/>
        <v>0</v>
      </c>
      <c r="O98" s="167">
        <f t="shared" si="13"/>
        <v>0</v>
      </c>
      <c r="P98" s="167">
        <f t="shared" si="13"/>
        <v>0</v>
      </c>
      <c r="Q98" s="167">
        <f t="shared" si="13"/>
        <v>0</v>
      </c>
      <c r="R98" s="206">
        <f t="shared" si="14"/>
        <v>0</v>
      </c>
      <c r="S98" s="144">
        <f t="shared" si="15"/>
        <v>0</v>
      </c>
      <c r="T98" s="144">
        <f t="shared" si="16"/>
        <v>0</v>
      </c>
      <c r="U98" s="111"/>
      <c r="V98" s="219">
        <f t="shared" si="17"/>
        <v>0</v>
      </c>
    </row>
    <row r="99" spans="3:22" hidden="1" outlineLevel="2">
      <c r="C99" s="73" t="str">
        <v>SpareOfferA17</v>
      </c>
      <c r="F99" s="136">
        <f t="shared" si="18"/>
        <v>0</v>
      </c>
      <c r="G99" s="167">
        <f t="shared" si="10"/>
        <v>0</v>
      </c>
      <c r="H99" s="167">
        <f t="shared" si="10"/>
        <v>0</v>
      </c>
      <c r="I99" s="167">
        <f t="shared" si="10"/>
        <v>0</v>
      </c>
      <c r="J99" s="206">
        <f t="shared" si="11"/>
        <v>0</v>
      </c>
      <c r="K99" s="101">
        <f t="shared" si="12"/>
        <v>0</v>
      </c>
      <c r="L99" s="143"/>
      <c r="N99" s="136">
        <f t="shared" si="19"/>
        <v>0</v>
      </c>
      <c r="O99" s="167">
        <f t="shared" si="13"/>
        <v>0</v>
      </c>
      <c r="P99" s="167">
        <f t="shared" si="13"/>
        <v>0</v>
      </c>
      <c r="Q99" s="167">
        <f t="shared" si="13"/>
        <v>0</v>
      </c>
      <c r="R99" s="206">
        <f t="shared" si="14"/>
        <v>0</v>
      </c>
      <c r="S99" s="144">
        <f t="shared" si="15"/>
        <v>0</v>
      </c>
      <c r="T99" s="144">
        <f t="shared" si="16"/>
        <v>0</v>
      </c>
      <c r="U99" s="111"/>
      <c r="V99" s="219">
        <f t="shared" si="17"/>
        <v>0</v>
      </c>
    </row>
    <row r="100" spans="3:22" hidden="1" outlineLevel="2">
      <c r="C100" s="73" t="str">
        <v>SpareOfferA18</v>
      </c>
      <c r="F100" s="136">
        <f t="shared" si="18"/>
        <v>0</v>
      </c>
      <c r="G100" s="167">
        <f t="shared" si="10"/>
        <v>0</v>
      </c>
      <c r="H100" s="167">
        <f t="shared" si="10"/>
        <v>0</v>
      </c>
      <c r="I100" s="167">
        <f t="shared" si="10"/>
        <v>0</v>
      </c>
      <c r="J100" s="206">
        <f t="shared" si="11"/>
        <v>0</v>
      </c>
      <c r="K100" s="101">
        <f t="shared" si="12"/>
        <v>0</v>
      </c>
      <c r="L100" s="143"/>
      <c r="N100" s="136">
        <f t="shared" si="19"/>
        <v>0</v>
      </c>
      <c r="O100" s="167">
        <f t="shared" si="13"/>
        <v>0</v>
      </c>
      <c r="P100" s="167">
        <f t="shared" si="13"/>
        <v>0</v>
      </c>
      <c r="Q100" s="167">
        <f t="shared" si="13"/>
        <v>0</v>
      </c>
      <c r="R100" s="206">
        <f t="shared" si="14"/>
        <v>0</v>
      </c>
      <c r="S100" s="144">
        <f t="shared" si="15"/>
        <v>0</v>
      </c>
      <c r="T100" s="144">
        <f t="shared" si="16"/>
        <v>0</v>
      </c>
      <c r="U100" s="111"/>
      <c r="V100" s="219">
        <f t="shared" si="17"/>
        <v>0</v>
      </c>
    </row>
    <row r="101" spans="3:22" hidden="1" outlineLevel="2">
      <c r="C101" s="73" t="str">
        <v>SpareOfferA19</v>
      </c>
      <c r="F101" s="136">
        <f t="shared" si="18"/>
        <v>0</v>
      </c>
      <c r="G101" s="167">
        <f t="shared" si="10"/>
        <v>0</v>
      </c>
      <c r="H101" s="167">
        <f t="shared" si="10"/>
        <v>0</v>
      </c>
      <c r="I101" s="167">
        <f t="shared" si="10"/>
        <v>0</v>
      </c>
      <c r="J101" s="206">
        <f t="shared" si="11"/>
        <v>0</v>
      </c>
      <c r="K101" s="101">
        <f t="shared" si="12"/>
        <v>0</v>
      </c>
      <c r="L101" s="143"/>
      <c r="N101" s="136">
        <f t="shared" si="19"/>
        <v>0</v>
      </c>
      <c r="O101" s="167">
        <f t="shared" si="13"/>
        <v>0</v>
      </c>
      <c r="P101" s="167">
        <f t="shared" si="13"/>
        <v>0</v>
      </c>
      <c r="Q101" s="167">
        <f t="shared" si="13"/>
        <v>0</v>
      </c>
      <c r="R101" s="206">
        <f t="shared" si="14"/>
        <v>0</v>
      </c>
      <c r="S101" s="144">
        <f t="shared" si="15"/>
        <v>0</v>
      </c>
      <c r="T101" s="144">
        <f t="shared" si="16"/>
        <v>0</v>
      </c>
      <c r="U101" s="111"/>
      <c r="V101" s="219">
        <f t="shared" si="17"/>
        <v>0</v>
      </c>
    </row>
    <row r="102" spans="3:22" hidden="1" outlineLevel="2">
      <c r="C102" s="73" t="str">
        <v>SpareOfferA20</v>
      </c>
      <c r="F102" s="136">
        <f t="shared" si="18"/>
        <v>0</v>
      </c>
      <c r="G102" s="167">
        <f t="shared" si="10"/>
        <v>0</v>
      </c>
      <c r="H102" s="167">
        <f t="shared" si="10"/>
        <v>0</v>
      </c>
      <c r="I102" s="167">
        <f t="shared" si="10"/>
        <v>0</v>
      </c>
      <c r="J102" s="206">
        <f t="shared" si="11"/>
        <v>0</v>
      </c>
      <c r="K102" s="101">
        <f t="shared" si="12"/>
        <v>0</v>
      </c>
      <c r="L102" s="143"/>
      <c r="N102" s="136">
        <f t="shared" si="19"/>
        <v>0</v>
      </c>
      <c r="O102" s="167">
        <f t="shared" si="13"/>
        <v>0</v>
      </c>
      <c r="P102" s="167">
        <f t="shared" si="13"/>
        <v>0</v>
      </c>
      <c r="Q102" s="167">
        <f t="shared" si="13"/>
        <v>0</v>
      </c>
      <c r="R102" s="206">
        <f t="shared" si="14"/>
        <v>0</v>
      </c>
      <c r="S102" s="144">
        <f t="shared" si="15"/>
        <v>0</v>
      </c>
      <c r="T102" s="144">
        <f t="shared" si="16"/>
        <v>0</v>
      </c>
      <c r="U102" s="111"/>
      <c r="V102" s="219">
        <f t="shared" si="17"/>
        <v>0</v>
      </c>
    </row>
    <row r="103" spans="3:22" hidden="1" outlineLevel="2">
      <c r="C103" s="73" t="str">
        <v>SpareOfferA21</v>
      </c>
      <c r="F103" s="136">
        <f t="shared" si="18"/>
        <v>0</v>
      </c>
      <c r="G103" s="167">
        <f t="shared" ref="G103:I117" si="20">$G65*G27</f>
        <v>0</v>
      </c>
      <c r="H103" s="167">
        <f t="shared" si="20"/>
        <v>0</v>
      </c>
      <c r="I103" s="167">
        <f t="shared" si="20"/>
        <v>0</v>
      </c>
      <c r="J103" s="206">
        <f t="shared" si="11"/>
        <v>0</v>
      </c>
      <c r="K103" s="101">
        <f t="shared" si="12"/>
        <v>0</v>
      </c>
      <c r="L103" s="143"/>
      <c r="N103" s="136">
        <f t="shared" si="19"/>
        <v>0</v>
      </c>
      <c r="O103" s="167">
        <f t="shared" ref="O103:Q117" si="21">$I65*O27</f>
        <v>0</v>
      </c>
      <c r="P103" s="167">
        <f t="shared" si="21"/>
        <v>0</v>
      </c>
      <c r="Q103" s="167">
        <f t="shared" si="21"/>
        <v>0</v>
      </c>
      <c r="R103" s="206">
        <f t="shared" si="14"/>
        <v>0</v>
      </c>
      <c r="S103" s="144">
        <f t="shared" si="15"/>
        <v>0</v>
      </c>
      <c r="T103" s="144">
        <f t="shared" si="16"/>
        <v>0</v>
      </c>
      <c r="U103" s="111"/>
      <c r="V103" s="219">
        <f t="shared" si="17"/>
        <v>0</v>
      </c>
    </row>
    <row r="104" spans="3:22" hidden="1" outlineLevel="2">
      <c r="C104" s="73" t="str">
        <v>SpareOfferA22</v>
      </c>
      <c r="F104" s="136">
        <f t="shared" si="18"/>
        <v>0</v>
      </c>
      <c r="G104" s="167">
        <f t="shared" si="20"/>
        <v>0</v>
      </c>
      <c r="H104" s="167">
        <f t="shared" si="20"/>
        <v>0</v>
      </c>
      <c r="I104" s="167">
        <f t="shared" si="20"/>
        <v>0</v>
      </c>
      <c r="J104" s="206">
        <f t="shared" si="11"/>
        <v>0</v>
      </c>
      <c r="K104" s="101">
        <f t="shared" si="12"/>
        <v>0</v>
      </c>
      <c r="L104" s="143"/>
      <c r="N104" s="136">
        <f t="shared" si="19"/>
        <v>0</v>
      </c>
      <c r="O104" s="167">
        <f t="shared" si="21"/>
        <v>0</v>
      </c>
      <c r="P104" s="167">
        <f t="shared" si="21"/>
        <v>0</v>
      </c>
      <c r="Q104" s="167">
        <f t="shared" si="21"/>
        <v>0</v>
      </c>
      <c r="R104" s="206">
        <f t="shared" si="14"/>
        <v>0</v>
      </c>
      <c r="S104" s="144">
        <f t="shared" si="15"/>
        <v>0</v>
      </c>
      <c r="T104" s="144">
        <f t="shared" si="16"/>
        <v>0</v>
      </c>
      <c r="U104" s="111"/>
      <c r="V104" s="219">
        <f t="shared" si="17"/>
        <v>0</v>
      </c>
    </row>
    <row r="105" spans="3:22" hidden="1" outlineLevel="2">
      <c r="C105" s="73" t="str">
        <v>SpareOfferA23</v>
      </c>
      <c r="F105" s="136">
        <f t="shared" si="18"/>
        <v>0</v>
      </c>
      <c r="G105" s="167">
        <f t="shared" si="20"/>
        <v>0</v>
      </c>
      <c r="H105" s="167">
        <f t="shared" si="20"/>
        <v>0</v>
      </c>
      <c r="I105" s="167">
        <f t="shared" si="20"/>
        <v>0</v>
      </c>
      <c r="J105" s="206">
        <f t="shared" si="11"/>
        <v>0</v>
      </c>
      <c r="K105" s="101">
        <f t="shared" si="12"/>
        <v>0</v>
      </c>
      <c r="L105" s="143"/>
      <c r="N105" s="136">
        <f t="shared" si="19"/>
        <v>0</v>
      </c>
      <c r="O105" s="167">
        <f t="shared" si="21"/>
        <v>0</v>
      </c>
      <c r="P105" s="167">
        <f t="shared" si="21"/>
        <v>0</v>
      </c>
      <c r="Q105" s="167">
        <f t="shared" si="21"/>
        <v>0</v>
      </c>
      <c r="R105" s="206">
        <f t="shared" si="14"/>
        <v>0</v>
      </c>
      <c r="S105" s="144">
        <f t="shared" si="15"/>
        <v>0</v>
      </c>
      <c r="T105" s="144">
        <f t="shared" si="16"/>
        <v>0</v>
      </c>
      <c r="U105" s="111"/>
      <c r="V105" s="219">
        <f t="shared" si="17"/>
        <v>0</v>
      </c>
    </row>
    <row r="106" spans="3:22" hidden="1" outlineLevel="2">
      <c r="C106" s="73" t="str">
        <v>SpareOfferA24</v>
      </c>
      <c r="F106" s="136">
        <f t="shared" si="18"/>
        <v>0</v>
      </c>
      <c r="G106" s="167">
        <f t="shared" si="20"/>
        <v>0</v>
      </c>
      <c r="H106" s="167">
        <f t="shared" si="20"/>
        <v>0</v>
      </c>
      <c r="I106" s="167">
        <f t="shared" si="20"/>
        <v>0</v>
      </c>
      <c r="J106" s="206">
        <f t="shared" si="11"/>
        <v>0</v>
      </c>
      <c r="K106" s="101">
        <f t="shared" si="12"/>
        <v>0</v>
      </c>
      <c r="L106" s="143"/>
      <c r="N106" s="136">
        <f t="shared" si="19"/>
        <v>0</v>
      </c>
      <c r="O106" s="167">
        <f t="shared" si="21"/>
        <v>0</v>
      </c>
      <c r="P106" s="167">
        <f t="shared" si="21"/>
        <v>0</v>
      </c>
      <c r="Q106" s="167">
        <f t="shared" si="21"/>
        <v>0</v>
      </c>
      <c r="R106" s="206">
        <f t="shared" si="14"/>
        <v>0</v>
      </c>
      <c r="S106" s="144">
        <f t="shared" si="15"/>
        <v>0</v>
      </c>
      <c r="T106" s="144">
        <f t="shared" si="16"/>
        <v>0</v>
      </c>
      <c r="U106" s="111"/>
      <c r="V106" s="219">
        <f t="shared" si="17"/>
        <v>0</v>
      </c>
    </row>
    <row r="107" spans="3:22" hidden="1" outlineLevel="2">
      <c r="C107" s="73" t="str">
        <v>SpareOfferA25</v>
      </c>
      <c r="F107" s="136">
        <f t="shared" si="18"/>
        <v>0</v>
      </c>
      <c r="G107" s="167">
        <f t="shared" si="20"/>
        <v>0</v>
      </c>
      <c r="H107" s="167">
        <f t="shared" si="20"/>
        <v>0</v>
      </c>
      <c r="I107" s="167">
        <f t="shared" si="20"/>
        <v>0</v>
      </c>
      <c r="J107" s="206">
        <f t="shared" si="11"/>
        <v>0</v>
      </c>
      <c r="K107" s="101">
        <f t="shared" si="12"/>
        <v>0</v>
      </c>
      <c r="L107" s="143"/>
      <c r="N107" s="136">
        <f t="shared" si="19"/>
        <v>0</v>
      </c>
      <c r="O107" s="167">
        <f t="shared" si="21"/>
        <v>0</v>
      </c>
      <c r="P107" s="167">
        <f t="shared" si="21"/>
        <v>0</v>
      </c>
      <c r="Q107" s="167">
        <f t="shared" si="21"/>
        <v>0</v>
      </c>
      <c r="R107" s="206">
        <f t="shared" si="14"/>
        <v>0</v>
      </c>
      <c r="S107" s="144">
        <f t="shared" si="15"/>
        <v>0</v>
      </c>
      <c r="T107" s="144">
        <f t="shared" si="16"/>
        <v>0</v>
      </c>
      <c r="U107" s="111"/>
      <c r="V107" s="219">
        <f t="shared" si="17"/>
        <v>0</v>
      </c>
    </row>
    <row r="108" spans="3:22" hidden="1" outlineLevel="2">
      <c r="C108" s="73" t="str">
        <v>SpareOfferA26</v>
      </c>
      <c r="F108" s="136">
        <f t="shared" si="18"/>
        <v>0</v>
      </c>
      <c r="G108" s="167">
        <f t="shared" si="20"/>
        <v>0</v>
      </c>
      <c r="H108" s="167">
        <f t="shared" si="20"/>
        <v>0</v>
      </c>
      <c r="I108" s="167">
        <f t="shared" si="20"/>
        <v>0</v>
      </c>
      <c r="J108" s="206">
        <f t="shared" si="11"/>
        <v>0</v>
      </c>
      <c r="K108" s="101">
        <f t="shared" si="12"/>
        <v>0</v>
      </c>
      <c r="L108" s="143"/>
      <c r="N108" s="136">
        <f t="shared" si="19"/>
        <v>0</v>
      </c>
      <c r="O108" s="167">
        <f t="shared" si="21"/>
        <v>0</v>
      </c>
      <c r="P108" s="167">
        <f t="shared" si="21"/>
        <v>0</v>
      </c>
      <c r="Q108" s="167">
        <f t="shared" si="21"/>
        <v>0</v>
      </c>
      <c r="R108" s="206">
        <f t="shared" si="14"/>
        <v>0</v>
      </c>
      <c r="S108" s="144">
        <f t="shared" si="15"/>
        <v>0</v>
      </c>
      <c r="T108" s="144">
        <f t="shared" si="16"/>
        <v>0</v>
      </c>
      <c r="U108" s="111"/>
      <c r="V108" s="219">
        <f t="shared" si="17"/>
        <v>0</v>
      </c>
    </row>
    <row r="109" spans="3:22" hidden="1" outlineLevel="2">
      <c r="C109" s="73" t="str">
        <v>SpareOfferA27</v>
      </c>
      <c r="F109" s="136">
        <f t="shared" si="18"/>
        <v>0</v>
      </c>
      <c r="G109" s="167">
        <f t="shared" si="20"/>
        <v>0</v>
      </c>
      <c r="H109" s="167">
        <f t="shared" si="20"/>
        <v>0</v>
      </c>
      <c r="I109" s="167">
        <f t="shared" si="20"/>
        <v>0</v>
      </c>
      <c r="J109" s="206">
        <f t="shared" si="11"/>
        <v>0</v>
      </c>
      <c r="K109" s="101">
        <f t="shared" si="12"/>
        <v>0</v>
      </c>
      <c r="L109" s="143"/>
      <c r="N109" s="136">
        <f t="shared" si="19"/>
        <v>0</v>
      </c>
      <c r="O109" s="167">
        <f t="shared" si="21"/>
        <v>0</v>
      </c>
      <c r="P109" s="167">
        <f t="shared" si="21"/>
        <v>0</v>
      </c>
      <c r="Q109" s="167">
        <f t="shared" si="21"/>
        <v>0</v>
      </c>
      <c r="R109" s="206">
        <f t="shared" si="14"/>
        <v>0</v>
      </c>
      <c r="S109" s="144">
        <f t="shared" si="15"/>
        <v>0</v>
      </c>
      <c r="T109" s="144">
        <f t="shared" si="16"/>
        <v>0</v>
      </c>
      <c r="U109" s="111"/>
      <c r="V109" s="219">
        <f t="shared" si="17"/>
        <v>0</v>
      </c>
    </row>
    <row r="110" spans="3:22" hidden="1" outlineLevel="2">
      <c r="C110" s="73" t="str">
        <v>SpareOfferA28</v>
      </c>
      <c r="F110" s="136">
        <f t="shared" si="18"/>
        <v>0</v>
      </c>
      <c r="G110" s="167">
        <f t="shared" si="20"/>
        <v>0</v>
      </c>
      <c r="H110" s="167">
        <f t="shared" si="20"/>
        <v>0</v>
      </c>
      <c r="I110" s="167">
        <f t="shared" si="20"/>
        <v>0</v>
      </c>
      <c r="J110" s="206">
        <f t="shared" si="11"/>
        <v>0</v>
      </c>
      <c r="K110" s="101">
        <f t="shared" si="12"/>
        <v>0</v>
      </c>
      <c r="L110" s="143"/>
      <c r="N110" s="136">
        <f t="shared" si="19"/>
        <v>0</v>
      </c>
      <c r="O110" s="167">
        <f t="shared" si="21"/>
        <v>0</v>
      </c>
      <c r="P110" s="167">
        <f t="shared" si="21"/>
        <v>0</v>
      </c>
      <c r="Q110" s="167">
        <f t="shared" si="21"/>
        <v>0</v>
      </c>
      <c r="R110" s="206">
        <f t="shared" si="14"/>
        <v>0</v>
      </c>
      <c r="S110" s="144">
        <f t="shared" si="15"/>
        <v>0</v>
      </c>
      <c r="T110" s="144">
        <f t="shared" si="16"/>
        <v>0</v>
      </c>
      <c r="U110" s="111"/>
      <c r="V110" s="219">
        <f t="shared" si="17"/>
        <v>0</v>
      </c>
    </row>
    <row r="111" spans="3:22" hidden="1" outlineLevel="2">
      <c r="C111" s="73" t="str">
        <v>SpareOfferA29</v>
      </c>
      <c r="F111" s="136">
        <f t="shared" si="18"/>
        <v>0</v>
      </c>
      <c r="G111" s="167">
        <f t="shared" si="20"/>
        <v>0</v>
      </c>
      <c r="H111" s="167">
        <f t="shared" si="20"/>
        <v>0</v>
      </c>
      <c r="I111" s="167">
        <f t="shared" si="20"/>
        <v>0</v>
      </c>
      <c r="J111" s="206">
        <f t="shared" si="11"/>
        <v>0</v>
      </c>
      <c r="K111" s="101">
        <f t="shared" si="12"/>
        <v>0</v>
      </c>
      <c r="L111" s="143"/>
      <c r="N111" s="136">
        <f t="shared" si="19"/>
        <v>0</v>
      </c>
      <c r="O111" s="167">
        <f t="shared" si="21"/>
        <v>0</v>
      </c>
      <c r="P111" s="167">
        <f t="shared" si="21"/>
        <v>0</v>
      </c>
      <c r="Q111" s="167">
        <f t="shared" si="21"/>
        <v>0</v>
      </c>
      <c r="R111" s="206">
        <f t="shared" si="14"/>
        <v>0</v>
      </c>
      <c r="S111" s="144">
        <f t="shared" si="15"/>
        <v>0</v>
      </c>
      <c r="T111" s="144">
        <f t="shared" si="16"/>
        <v>0</v>
      </c>
      <c r="U111" s="111"/>
      <c r="V111" s="219">
        <f t="shared" si="17"/>
        <v>0</v>
      </c>
    </row>
    <row r="112" spans="3:22" hidden="1" outlineLevel="2">
      <c r="C112" s="73" t="str">
        <v>SpareOfferA30</v>
      </c>
      <c r="F112" s="136">
        <f t="shared" si="18"/>
        <v>0</v>
      </c>
      <c r="G112" s="167">
        <f t="shared" si="20"/>
        <v>0</v>
      </c>
      <c r="H112" s="167">
        <f t="shared" si="20"/>
        <v>0</v>
      </c>
      <c r="I112" s="167">
        <f t="shared" si="20"/>
        <v>0</v>
      </c>
      <c r="J112" s="206">
        <f t="shared" si="11"/>
        <v>0</v>
      </c>
      <c r="K112" s="101">
        <f t="shared" si="12"/>
        <v>0</v>
      </c>
      <c r="L112" s="143"/>
      <c r="N112" s="136">
        <f t="shared" si="19"/>
        <v>0</v>
      </c>
      <c r="O112" s="167">
        <f t="shared" si="21"/>
        <v>0</v>
      </c>
      <c r="P112" s="167">
        <f t="shared" si="21"/>
        <v>0</v>
      </c>
      <c r="Q112" s="167">
        <f t="shared" si="21"/>
        <v>0</v>
      </c>
      <c r="R112" s="206">
        <f t="shared" si="14"/>
        <v>0</v>
      </c>
      <c r="S112" s="144">
        <f t="shared" si="15"/>
        <v>0</v>
      </c>
      <c r="T112" s="144">
        <f t="shared" si="16"/>
        <v>0</v>
      </c>
      <c r="U112" s="111"/>
      <c r="V112" s="219">
        <f t="shared" si="17"/>
        <v>0</v>
      </c>
    </row>
    <row r="113" spans="1:22" hidden="1" outlineLevel="2">
      <c r="C113" s="73" t="str">
        <v>SpareOfferA31</v>
      </c>
      <c r="F113" s="136">
        <f t="shared" si="18"/>
        <v>0</v>
      </c>
      <c r="G113" s="167">
        <f t="shared" si="20"/>
        <v>0</v>
      </c>
      <c r="H113" s="167">
        <f t="shared" si="20"/>
        <v>0</v>
      </c>
      <c r="I113" s="167">
        <f t="shared" si="20"/>
        <v>0</v>
      </c>
      <c r="J113" s="206">
        <f t="shared" si="11"/>
        <v>0</v>
      </c>
      <c r="K113" s="101">
        <f t="shared" si="12"/>
        <v>0</v>
      </c>
      <c r="L113" s="143"/>
      <c r="N113" s="136">
        <f t="shared" si="19"/>
        <v>0</v>
      </c>
      <c r="O113" s="167">
        <f t="shared" si="21"/>
        <v>0</v>
      </c>
      <c r="P113" s="167">
        <f t="shared" si="21"/>
        <v>0</v>
      </c>
      <c r="Q113" s="167">
        <f t="shared" si="21"/>
        <v>0</v>
      </c>
      <c r="R113" s="206">
        <f t="shared" si="14"/>
        <v>0</v>
      </c>
      <c r="S113" s="144">
        <f t="shared" si="15"/>
        <v>0</v>
      </c>
      <c r="T113" s="144">
        <f t="shared" si="16"/>
        <v>0</v>
      </c>
      <c r="U113" s="111"/>
      <c r="V113" s="219">
        <f t="shared" si="17"/>
        <v>0</v>
      </c>
    </row>
    <row r="114" spans="1:22" hidden="1" outlineLevel="2">
      <c r="C114" s="73" t="str">
        <v>SpareOfferA32</v>
      </c>
      <c r="F114" s="136">
        <f t="shared" si="18"/>
        <v>0</v>
      </c>
      <c r="G114" s="167">
        <f t="shared" si="20"/>
        <v>0</v>
      </c>
      <c r="H114" s="167">
        <f t="shared" si="20"/>
        <v>0</v>
      </c>
      <c r="I114" s="167">
        <f t="shared" si="20"/>
        <v>0</v>
      </c>
      <c r="J114" s="206">
        <f t="shared" si="11"/>
        <v>0</v>
      </c>
      <c r="K114" s="101">
        <f t="shared" si="12"/>
        <v>0</v>
      </c>
      <c r="L114" s="143"/>
      <c r="N114" s="136">
        <f t="shared" si="19"/>
        <v>0</v>
      </c>
      <c r="O114" s="167">
        <f t="shared" si="21"/>
        <v>0</v>
      </c>
      <c r="P114" s="167">
        <f t="shared" si="21"/>
        <v>0</v>
      </c>
      <c r="Q114" s="167">
        <f t="shared" si="21"/>
        <v>0</v>
      </c>
      <c r="R114" s="206">
        <f t="shared" si="14"/>
        <v>0</v>
      </c>
      <c r="S114" s="144">
        <f t="shared" si="15"/>
        <v>0</v>
      </c>
      <c r="T114" s="144">
        <f t="shared" si="16"/>
        <v>0</v>
      </c>
      <c r="U114" s="111"/>
      <c r="V114" s="219">
        <f t="shared" si="17"/>
        <v>0</v>
      </c>
    </row>
    <row r="115" spans="1:22" hidden="1" outlineLevel="2">
      <c r="C115" s="73" t="str">
        <v>SpareOfferA33</v>
      </c>
      <c r="F115" s="136">
        <f t="shared" si="18"/>
        <v>0</v>
      </c>
      <c r="G115" s="167">
        <f t="shared" si="20"/>
        <v>0</v>
      </c>
      <c r="H115" s="167">
        <f t="shared" si="20"/>
        <v>0</v>
      </c>
      <c r="I115" s="167">
        <f t="shared" si="20"/>
        <v>0</v>
      </c>
      <c r="J115" s="206">
        <f t="shared" si="11"/>
        <v>0</v>
      </c>
      <c r="K115" s="101">
        <f t="shared" si="12"/>
        <v>0</v>
      </c>
      <c r="L115" s="143"/>
      <c r="N115" s="136">
        <f t="shared" si="19"/>
        <v>0</v>
      </c>
      <c r="O115" s="167">
        <f t="shared" si="21"/>
        <v>0</v>
      </c>
      <c r="P115" s="167">
        <f t="shared" si="21"/>
        <v>0</v>
      </c>
      <c r="Q115" s="167">
        <f t="shared" si="21"/>
        <v>0</v>
      </c>
      <c r="R115" s="206">
        <f t="shared" si="14"/>
        <v>0</v>
      </c>
      <c r="S115" s="144">
        <f t="shared" si="15"/>
        <v>0</v>
      </c>
      <c r="T115" s="144">
        <f t="shared" si="16"/>
        <v>0</v>
      </c>
      <c r="U115" s="111"/>
      <c r="V115" s="219">
        <f t="shared" si="17"/>
        <v>0</v>
      </c>
    </row>
    <row r="116" spans="1:22" hidden="1" outlineLevel="2">
      <c r="C116" s="73" t="str">
        <v>SpareOfferA34</v>
      </c>
      <c r="F116" s="136">
        <f t="shared" si="18"/>
        <v>0</v>
      </c>
      <c r="G116" s="167">
        <f t="shared" si="20"/>
        <v>0</v>
      </c>
      <c r="H116" s="167">
        <f t="shared" si="20"/>
        <v>0</v>
      </c>
      <c r="I116" s="167">
        <f t="shared" si="20"/>
        <v>0</v>
      </c>
      <c r="J116" s="206">
        <f t="shared" si="11"/>
        <v>0</v>
      </c>
      <c r="K116" s="101">
        <f t="shared" si="12"/>
        <v>0</v>
      </c>
      <c r="L116" s="143"/>
      <c r="N116" s="136">
        <f t="shared" si="19"/>
        <v>0</v>
      </c>
      <c r="O116" s="167">
        <f t="shared" si="21"/>
        <v>0</v>
      </c>
      <c r="P116" s="167">
        <f t="shared" si="21"/>
        <v>0</v>
      </c>
      <c r="Q116" s="167">
        <f t="shared" si="21"/>
        <v>0</v>
      </c>
      <c r="R116" s="206">
        <f t="shared" si="14"/>
        <v>0</v>
      </c>
      <c r="S116" s="144">
        <f t="shared" si="15"/>
        <v>0</v>
      </c>
      <c r="T116" s="144">
        <f t="shared" si="16"/>
        <v>0</v>
      </c>
      <c r="U116" s="111"/>
      <c r="V116" s="219">
        <f t="shared" si="17"/>
        <v>0</v>
      </c>
    </row>
    <row r="117" spans="1:22" outlineLevel="1" collapsed="1">
      <c r="C117" s="73" t="str">
        <v>SpareOfferA35</v>
      </c>
      <c r="F117" s="136">
        <f t="shared" si="18"/>
        <v>0</v>
      </c>
      <c r="G117" s="167">
        <f t="shared" si="20"/>
        <v>0</v>
      </c>
      <c r="H117" s="167">
        <f t="shared" si="20"/>
        <v>0</v>
      </c>
      <c r="I117" s="167">
        <f t="shared" si="20"/>
        <v>0</v>
      </c>
      <c r="J117" s="206">
        <f t="shared" si="11"/>
        <v>0</v>
      </c>
      <c r="K117" s="101">
        <f t="shared" si="12"/>
        <v>0</v>
      </c>
      <c r="L117" s="143"/>
      <c r="N117" s="136">
        <f t="shared" si="19"/>
        <v>0</v>
      </c>
      <c r="O117" s="167">
        <f t="shared" si="21"/>
        <v>0</v>
      </c>
      <c r="P117" s="167">
        <f t="shared" si="21"/>
        <v>0</v>
      </c>
      <c r="Q117" s="167">
        <f t="shared" si="21"/>
        <v>0</v>
      </c>
      <c r="R117" s="206">
        <f t="shared" si="14"/>
        <v>0</v>
      </c>
      <c r="S117" s="144">
        <f t="shared" si="15"/>
        <v>0</v>
      </c>
      <c r="T117" s="144">
        <f t="shared" si="16"/>
        <v>0</v>
      </c>
      <c r="U117" s="111"/>
      <c r="V117" s="219">
        <f t="shared" si="17"/>
        <v>0</v>
      </c>
    </row>
    <row r="118" spans="1:22" ht="12" outlineLevel="1">
      <c r="F118" s="43" t="s">
        <v>490</v>
      </c>
      <c r="G118" s="43" t="s">
        <v>516</v>
      </c>
      <c r="M118" s="43" t="s">
        <v>505</v>
      </c>
      <c r="N118" s="43" t="s">
        <v>486</v>
      </c>
      <c r="O118" s="43" t="s">
        <v>520</v>
      </c>
      <c r="U118" s="43" t="s">
        <v>509</v>
      </c>
      <c r="V118" s="43" t="s">
        <v>481</v>
      </c>
    </row>
    <row r="119" spans="1:22" outlineLevel="1"/>
    <row r="120" spans="1:22" s="220" customFormat="1">
      <c r="A120" s="220">
        <v>2</v>
      </c>
      <c r="B120" s="221" t="str">
        <f>INDEX(segments,A120)</f>
        <v>Business</v>
      </c>
      <c r="C120" s="207"/>
    </row>
    <row r="121" spans="1:22" outlineLevel="1"/>
    <row r="122" spans="1:22" outlineLevel="1">
      <c r="C122" s="35" t="s">
        <v>466</v>
      </c>
      <c r="G122" s="66" t="s">
        <v>162</v>
      </c>
      <c r="H122" s="66"/>
      <c r="I122" s="66"/>
      <c r="J122" s="66"/>
      <c r="K122" s="66"/>
      <c r="L122" s="66"/>
      <c r="O122" s="66" t="s">
        <v>164</v>
      </c>
      <c r="P122" s="66"/>
      <c r="Q122" s="66"/>
      <c r="R122" s="66"/>
      <c r="S122" s="66"/>
      <c r="T122" s="66"/>
    </row>
    <row r="123" spans="1:22" ht="26.25" customHeight="1" outlineLevel="1">
      <c r="C123" s="1" t="s">
        <v>309</v>
      </c>
      <c r="G123" s="1" t="str">
        <f t="array" ref="G123:L123">TRANSPOSE(voice.destination)</f>
        <v>On-net</v>
      </c>
      <c r="H123" s="1" t="str">
        <v>Off-net fixed</v>
      </c>
      <c r="I123" s="1" t="str">
        <v>Off-net mobile</v>
      </c>
      <c r="J123" s="1" t="str">
        <v>International</v>
      </c>
      <c r="K123" s="1" t="str">
        <v>VAS</v>
      </c>
      <c r="L123" s="1" t="str">
        <v>Not used</v>
      </c>
      <c r="O123" s="1" t="str">
        <f t="array" ref="O123:T123">TRANSPOSE(voice.destination)</f>
        <v>On-net</v>
      </c>
      <c r="P123" s="1" t="str">
        <v>Off-net fixed</v>
      </c>
      <c r="Q123" s="1" t="str">
        <v>Off-net mobile</v>
      </c>
      <c r="R123" s="1" t="str">
        <v>International</v>
      </c>
      <c r="S123" s="1" t="str">
        <v>VAS</v>
      </c>
      <c r="T123" s="1" t="str">
        <v>Not used</v>
      </c>
    </row>
    <row r="124" spans="1:22" outlineLevel="1">
      <c r="C124" s="73" t="str">
        <f t="array" ref="C124:C158">offers.segment.2</f>
        <v>SpareOfferB1</v>
      </c>
      <c r="E124" t="s">
        <v>163</v>
      </c>
      <c r="G124" s="81">
        <f t="array" ref="G124">SUM(distribution.outgoing.voice.by.destination*(offers.segment.all=$C124)*(TRANSPOSE(voice.destination.domestic)=G$123))</f>
        <v>0</v>
      </c>
      <c r="H124" s="81">
        <f t="array" ref="H124">SUM(distribution.outgoing.voice.by.destination*(offers.segment.all=$C124)*(TRANSPOSE(voice.destination.domestic)=H$123))</f>
        <v>0</v>
      </c>
      <c r="I124" s="81">
        <f t="array" ref="I124">SUM(distribution.outgoing.voice.by.destination*(offers.segment.all=$C124)*(TRANSPOSE(voice.destination.domestic)=I$123))</f>
        <v>0</v>
      </c>
      <c r="J124" s="81">
        <f t="array" ref="J124">SUM(distribution.outgoing.voice.by.destination*(offers.segment.all=$C124)*(TRANSPOSE(voice.destination.domestic)=J$123))</f>
        <v>0</v>
      </c>
      <c r="K124" s="81">
        <f t="array" ref="K124">SUM(distribution.outgoing.voice.by.destination*(offers.segment.all=$C124)*(TRANSPOSE(voice.destination.domestic)=K$123))</f>
        <v>0</v>
      </c>
      <c r="L124" s="81">
        <f t="array" ref="L124">SUM(distribution.outgoing.voice.by.destination*(offers.segment.all=$C124)*(TRANSPOSE(voice.destination.domestic)=L$123))</f>
        <v>0</v>
      </c>
      <c r="O124" s="169">
        <f t="shared" ref="O124:O158" si="22">IF(SUM($G124,$I124)=0, 0, G124/SUM($G124,$I124))</f>
        <v>0</v>
      </c>
      <c r="P124" s="103">
        <v>0</v>
      </c>
      <c r="Q124" s="169">
        <f t="shared" ref="Q124:Q158" si="23">IF(SUM($G124,$I124)=0, 0, I124/SUM($G124,$I124))</f>
        <v>0</v>
      </c>
      <c r="R124" s="103">
        <v>0</v>
      </c>
      <c r="S124" s="103">
        <v>0</v>
      </c>
      <c r="T124" s="103">
        <v>0</v>
      </c>
    </row>
    <row r="125" spans="1:22" ht="12" hidden="1" customHeight="1" outlineLevel="2">
      <c r="C125" s="73" t="str">
        <v>SpareOfferB2</v>
      </c>
      <c r="E125" t="s">
        <v>163</v>
      </c>
      <c r="G125" s="81">
        <f t="array" ref="G125">SUM(distribution.outgoing.voice.by.destination*(offers.segment.all=$C125)*(TRANSPOSE(voice.destination.domestic)=G$123))</f>
        <v>0</v>
      </c>
      <c r="H125" s="81">
        <f t="array" ref="H125">SUM(distribution.outgoing.voice.by.destination*(offers.segment.all=$C125)*(TRANSPOSE(voice.destination.domestic)=H$123))</f>
        <v>0</v>
      </c>
      <c r="I125" s="81">
        <f t="array" ref="I125">SUM(distribution.outgoing.voice.by.destination*(offers.segment.all=$C125)*(TRANSPOSE(voice.destination.domestic)=I$123))</f>
        <v>0</v>
      </c>
      <c r="J125" s="81">
        <f t="array" ref="J125">SUM(distribution.outgoing.voice.by.destination*(offers.segment.all=$C125)*(TRANSPOSE(voice.destination.domestic)=J$123))</f>
        <v>0</v>
      </c>
      <c r="K125" s="81">
        <f t="array" ref="K125">SUM(distribution.outgoing.voice.by.destination*(offers.segment.all=$C125)*(TRANSPOSE(voice.destination.domestic)=K$123))</f>
        <v>0</v>
      </c>
      <c r="L125" s="81">
        <f t="array" ref="L125">SUM(distribution.outgoing.voice.by.destination*(offers.segment.all=$C125)*(TRANSPOSE(voice.destination.domestic)=L$123))</f>
        <v>0</v>
      </c>
      <c r="O125" s="169">
        <f t="shared" si="22"/>
        <v>0</v>
      </c>
      <c r="P125" s="103">
        <v>0</v>
      </c>
      <c r="Q125" s="169">
        <f t="shared" si="23"/>
        <v>0</v>
      </c>
      <c r="R125" s="103">
        <v>0</v>
      </c>
      <c r="S125" s="103">
        <v>0</v>
      </c>
      <c r="T125" s="103">
        <v>0</v>
      </c>
    </row>
    <row r="126" spans="1:22" ht="12" hidden="1" customHeight="1" outlineLevel="2">
      <c r="C126" s="73" t="str">
        <v>SpareOfferB3</v>
      </c>
      <c r="E126" t="s">
        <v>163</v>
      </c>
      <c r="G126" s="81">
        <f t="array" ref="G126">SUM(distribution.outgoing.voice.by.destination*(offers.segment.all=$C126)*(TRANSPOSE(voice.destination.domestic)=G$123))</f>
        <v>0</v>
      </c>
      <c r="H126" s="81">
        <f t="array" ref="H126">SUM(distribution.outgoing.voice.by.destination*(offers.segment.all=$C126)*(TRANSPOSE(voice.destination.domestic)=H$123))</f>
        <v>0</v>
      </c>
      <c r="I126" s="81">
        <f t="array" ref="I126">SUM(distribution.outgoing.voice.by.destination*(offers.segment.all=$C126)*(TRANSPOSE(voice.destination.domestic)=I$123))</f>
        <v>0</v>
      </c>
      <c r="J126" s="81">
        <f t="array" ref="J126">SUM(distribution.outgoing.voice.by.destination*(offers.segment.all=$C126)*(TRANSPOSE(voice.destination.domestic)=J$123))</f>
        <v>0</v>
      </c>
      <c r="K126" s="81">
        <f t="array" ref="K126">SUM(distribution.outgoing.voice.by.destination*(offers.segment.all=$C126)*(TRANSPOSE(voice.destination.domestic)=K$123))</f>
        <v>0</v>
      </c>
      <c r="L126" s="81">
        <f t="array" ref="L126">SUM(distribution.outgoing.voice.by.destination*(offers.segment.all=$C126)*(TRANSPOSE(voice.destination.domestic)=L$123))</f>
        <v>0</v>
      </c>
      <c r="O126" s="169">
        <f t="shared" si="22"/>
        <v>0</v>
      </c>
      <c r="P126" s="103">
        <v>0</v>
      </c>
      <c r="Q126" s="169">
        <f t="shared" si="23"/>
        <v>0</v>
      </c>
      <c r="R126" s="103">
        <v>0</v>
      </c>
      <c r="S126" s="103">
        <v>0</v>
      </c>
      <c r="T126" s="103">
        <v>0</v>
      </c>
    </row>
    <row r="127" spans="1:22" ht="12" hidden="1" customHeight="1" outlineLevel="2">
      <c r="C127" s="73" t="str">
        <v>SpareOfferB4</v>
      </c>
      <c r="E127" t="s">
        <v>163</v>
      </c>
      <c r="G127" s="81">
        <f t="array" ref="G127">SUM(distribution.outgoing.voice.by.destination*(offers.segment.all=$C127)*(TRANSPOSE(voice.destination.domestic)=G$123))</f>
        <v>0</v>
      </c>
      <c r="H127" s="81">
        <f t="array" ref="H127">SUM(distribution.outgoing.voice.by.destination*(offers.segment.all=$C127)*(TRANSPOSE(voice.destination.domestic)=H$123))</f>
        <v>0</v>
      </c>
      <c r="I127" s="81">
        <f t="array" ref="I127">SUM(distribution.outgoing.voice.by.destination*(offers.segment.all=$C127)*(TRANSPOSE(voice.destination.domestic)=I$123))</f>
        <v>0</v>
      </c>
      <c r="J127" s="81">
        <f t="array" ref="J127">SUM(distribution.outgoing.voice.by.destination*(offers.segment.all=$C127)*(TRANSPOSE(voice.destination.domestic)=J$123))</f>
        <v>0</v>
      </c>
      <c r="K127" s="81">
        <f t="array" ref="K127">SUM(distribution.outgoing.voice.by.destination*(offers.segment.all=$C127)*(TRANSPOSE(voice.destination.domestic)=K$123))</f>
        <v>0</v>
      </c>
      <c r="L127" s="81">
        <f t="array" ref="L127">SUM(distribution.outgoing.voice.by.destination*(offers.segment.all=$C127)*(TRANSPOSE(voice.destination.domestic)=L$123))</f>
        <v>0</v>
      </c>
      <c r="O127" s="169">
        <f t="shared" si="22"/>
        <v>0</v>
      </c>
      <c r="P127" s="103">
        <v>0</v>
      </c>
      <c r="Q127" s="169">
        <f t="shared" si="23"/>
        <v>0</v>
      </c>
      <c r="R127" s="103">
        <v>0</v>
      </c>
      <c r="S127" s="103">
        <v>0</v>
      </c>
      <c r="T127" s="103">
        <v>0</v>
      </c>
    </row>
    <row r="128" spans="1:22" ht="12" hidden="1" customHeight="1" outlineLevel="2">
      <c r="C128" s="73" t="str">
        <v>SpareOfferB5</v>
      </c>
      <c r="E128" t="s">
        <v>163</v>
      </c>
      <c r="G128" s="81">
        <f t="array" ref="G128">SUM(distribution.outgoing.voice.by.destination*(offers.segment.all=$C128)*(TRANSPOSE(voice.destination.domestic)=G$123))</f>
        <v>0</v>
      </c>
      <c r="H128" s="81">
        <f t="array" ref="H128">SUM(distribution.outgoing.voice.by.destination*(offers.segment.all=$C128)*(TRANSPOSE(voice.destination.domestic)=H$123))</f>
        <v>0</v>
      </c>
      <c r="I128" s="81">
        <f t="array" ref="I128">SUM(distribution.outgoing.voice.by.destination*(offers.segment.all=$C128)*(TRANSPOSE(voice.destination.domestic)=I$123))</f>
        <v>0</v>
      </c>
      <c r="J128" s="81">
        <f t="array" ref="J128">SUM(distribution.outgoing.voice.by.destination*(offers.segment.all=$C128)*(TRANSPOSE(voice.destination.domestic)=J$123))</f>
        <v>0</v>
      </c>
      <c r="K128" s="81">
        <f t="array" ref="K128">SUM(distribution.outgoing.voice.by.destination*(offers.segment.all=$C128)*(TRANSPOSE(voice.destination.domestic)=K$123))</f>
        <v>0</v>
      </c>
      <c r="L128" s="81">
        <f t="array" ref="L128">SUM(distribution.outgoing.voice.by.destination*(offers.segment.all=$C128)*(TRANSPOSE(voice.destination.domestic)=L$123))</f>
        <v>0</v>
      </c>
      <c r="O128" s="169">
        <f t="shared" si="22"/>
        <v>0</v>
      </c>
      <c r="P128" s="103">
        <v>0</v>
      </c>
      <c r="Q128" s="169">
        <f t="shared" si="23"/>
        <v>0</v>
      </c>
      <c r="R128" s="103">
        <v>0</v>
      </c>
      <c r="S128" s="103">
        <v>0</v>
      </c>
      <c r="T128" s="103">
        <v>0</v>
      </c>
    </row>
    <row r="129" spans="3:20" ht="12" hidden="1" customHeight="1" outlineLevel="2">
      <c r="C129" s="73" t="str">
        <v>SpareOfferB6</v>
      </c>
      <c r="E129" t="s">
        <v>163</v>
      </c>
      <c r="G129" s="81">
        <f t="array" ref="G129">SUM(distribution.outgoing.voice.by.destination*(offers.segment.all=$C129)*(TRANSPOSE(voice.destination.domestic)=G$123))</f>
        <v>0</v>
      </c>
      <c r="H129" s="81">
        <f t="array" ref="H129">SUM(distribution.outgoing.voice.by.destination*(offers.segment.all=$C129)*(TRANSPOSE(voice.destination.domestic)=H$123))</f>
        <v>0</v>
      </c>
      <c r="I129" s="81">
        <f t="array" ref="I129">SUM(distribution.outgoing.voice.by.destination*(offers.segment.all=$C129)*(TRANSPOSE(voice.destination.domestic)=I$123))</f>
        <v>0</v>
      </c>
      <c r="J129" s="81">
        <f t="array" ref="J129">SUM(distribution.outgoing.voice.by.destination*(offers.segment.all=$C129)*(TRANSPOSE(voice.destination.domestic)=J$123))</f>
        <v>0</v>
      </c>
      <c r="K129" s="81">
        <f t="array" ref="K129">SUM(distribution.outgoing.voice.by.destination*(offers.segment.all=$C129)*(TRANSPOSE(voice.destination.domestic)=K$123))</f>
        <v>0</v>
      </c>
      <c r="L129" s="81">
        <f t="array" ref="L129">SUM(distribution.outgoing.voice.by.destination*(offers.segment.all=$C129)*(TRANSPOSE(voice.destination.domestic)=L$123))</f>
        <v>0</v>
      </c>
      <c r="O129" s="169">
        <f t="shared" si="22"/>
        <v>0</v>
      </c>
      <c r="P129" s="103">
        <v>0</v>
      </c>
      <c r="Q129" s="169">
        <f t="shared" si="23"/>
        <v>0</v>
      </c>
      <c r="R129" s="103">
        <v>0</v>
      </c>
      <c r="S129" s="103">
        <v>0</v>
      </c>
      <c r="T129" s="103">
        <v>0</v>
      </c>
    </row>
    <row r="130" spans="3:20" ht="12" hidden="1" customHeight="1" outlineLevel="2">
      <c r="C130" s="73" t="str">
        <v>SpareOfferB7</v>
      </c>
      <c r="E130" t="s">
        <v>163</v>
      </c>
      <c r="G130" s="81">
        <f t="array" ref="G130">SUM(distribution.outgoing.voice.by.destination*(offers.segment.all=$C130)*(TRANSPOSE(voice.destination.domestic)=G$123))</f>
        <v>0</v>
      </c>
      <c r="H130" s="81">
        <f t="array" ref="H130">SUM(distribution.outgoing.voice.by.destination*(offers.segment.all=$C130)*(TRANSPOSE(voice.destination.domestic)=H$123))</f>
        <v>0</v>
      </c>
      <c r="I130" s="81">
        <f t="array" ref="I130">SUM(distribution.outgoing.voice.by.destination*(offers.segment.all=$C130)*(TRANSPOSE(voice.destination.domestic)=I$123))</f>
        <v>0</v>
      </c>
      <c r="J130" s="81">
        <f t="array" ref="J130">SUM(distribution.outgoing.voice.by.destination*(offers.segment.all=$C130)*(TRANSPOSE(voice.destination.domestic)=J$123))</f>
        <v>0</v>
      </c>
      <c r="K130" s="81">
        <f t="array" ref="K130">SUM(distribution.outgoing.voice.by.destination*(offers.segment.all=$C130)*(TRANSPOSE(voice.destination.domestic)=K$123))</f>
        <v>0</v>
      </c>
      <c r="L130" s="81">
        <f t="array" ref="L130">SUM(distribution.outgoing.voice.by.destination*(offers.segment.all=$C130)*(TRANSPOSE(voice.destination.domestic)=L$123))</f>
        <v>0</v>
      </c>
      <c r="O130" s="169">
        <f t="shared" si="22"/>
        <v>0</v>
      </c>
      <c r="P130" s="103">
        <v>0</v>
      </c>
      <c r="Q130" s="169">
        <f t="shared" si="23"/>
        <v>0</v>
      </c>
      <c r="R130" s="103">
        <v>0</v>
      </c>
      <c r="S130" s="103">
        <v>0</v>
      </c>
      <c r="T130" s="103">
        <v>0</v>
      </c>
    </row>
    <row r="131" spans="3:20" ht="12" hidden="1" customHeight="1" outlineLevel="2">
      <c r="C131" s="73" t="str">
        <v>SpareOfferB8</v>
      </c>
      <c r="E131" t="s">
        <v>163</v>
      </c>
      <c r="G131" s="81">
        <f t="array" ref="G131">SUM(distribution.outgoing.voice.by.destination*(offers.segment.all=$C131)*(TRANSPOSE(voice.destination.domestic)=G$123))</f>
        <v>0</v>
      </c>
      <c r="H131" s="81">
        <f t="array" ref="H131">SUM(distribution.outgoing.voice.by.destination*(offers.segment.all=$C131)*(TRANSPOSE(voice.destination.domestic)=H$123))</f>
        <v>0</v>
      </c>
      <c r="I131" s="81">
        <f t="array" ref="I131">SUM(distribution.outgoing.voice.by.destination*(offers.segment.all=$C131)*(TRANSPOSE(voice.destination.domestic)=I$123))</f>
        <v>0</v>
      </c>
      <c r="J131" s="81">
        <f t="array" ref="J131">SUM(distribution.outgoing.voice.by.destination*(offers.segment.all=$C131)*(TRANSPOSE(voice.destination.domestic)=J$123))</f>
        <v>0</v>
      </c>
      <c r="K131" s="81">
        <f t="array" ref="K131">SUM(distribution.outgoing.voice.by.destination*(offers.segment.all=$C131)*(TRANSPOSE(voice.destination.domestic)=K$123))</f>
        <v>0</v>
      </c>
      <c r="L131" s="81">
        <f t="array" ref="L131">SUM(distribution.outgoing.voice.by.destination*(offers.segment.all=$C131)*(TRANSPOSE(voice.destination.domestic)=L$123))</f>
        <v>0</v>
      </c>
      <c r="O131" s="169">
        <f t="shared" si="22"/>
        <v>0</v>
      </c>
      <c r="P131" s="103">
        <v>0</v>
      </c>
      <c r="Q131" s="169">
        <f t="shared" si="23"/>
        <v>0</v>
      </c>
      <c r="R131" s="103">
        <v>0</v>
      </c>
      <c r="S131" s="103">
        <v>0</v>
      </c>
      <c r="T131" s="103">
        <v>0</v>
      </c>
    </row>
    <row r="132" spans="3:20" ht="12" hidden="1" customHeight="1" outlineLevel="2">
      <c r="C132" s="73" t="str">
        <v>SpareOfferB9</v>
      </c>
      <c r="E132" t="s">
        <v>163</v>
      </c>
      <c r="G132" s="81">
        <f t="array" ref="G132">SUM(distribution.outgoing.voice.by.destination*(offers.segment.all=$C132)*(TRANSPOSE(voice.destination.domestic)=G$123))</f>
        <v>0</v>
      </c>
      <c r="H132" s="81">
        <f t="array" ref="H132">SUM(distribution.outgoing.voice.by.destination*(offers.segment.all=$C132)*(TRANSPOSE(voice.destination.domestic)=H$123))</f>
        <v>0</v>
      </c>
      <c r="I132" s="81">
        <f t="array" ref="I132">SUM(distribution.outgoing.voice.by.destination*(offers.segment.all=$C132)*(TRANSPOSE(voice.destination.domestic)=I$123))</f>
        <v>0</v>
      </c>
      <c r="J132" s="81">
        <f t="array" ref="J132">SUM(distribution.outgoing.voice.by.destination*(offers.segment.all=$C132)*(TRANSPOSE(voice.destination.domestic)=J$123))</f>
        <v>0</v>
      </c>
      <c r="K132" s="81">
        <f t="array" ref="K132">SUM(distribution.outgoing.voice.by.destination*(offers.segment.all=$C132)*(TRANSPOSE(voice.destination.domestic)=K$123))</f>
        <v>0</v>
      </c>
      <c r="L132" s="81">
        <f t="array" ref="L132">SUM(distribution.outgoing.voice.by.destination*(offers.segment.all=$C132)*(TRANSPOSE(voice.destination.domestic)=L$123))</f>
        <v>0</v>
      </c>
      <c r="O132" s="169">
        <f t="shared" si="22"/>
        <v>0</v>
      </c>
      <c r="P132" s="103">
        <v>0</v>
      </c>
      <c r="Q132" s="169">
        <f t="shared" si="23"/>
        <v>0</v>
      </c>
      <c r="R132" s="103">
        <v>0</v>
      </c>
      <c r="S132" s="103">
        <v>0</v>
      </c>
      <c r="T132" s="103">
        <v>0</v>
      </c>
    </row>
    <row r="133" spans="3:20" ht="12" hidden="1" customHeight="1" outlineLevel="2">
      <c r="C133" s="73" t="str">
        <v>SpareOfferB10</v>
      </c>
      <c r="E133" t="s">
        <v>163</v>
      </c>
      <c r="G133" s="81">
        <f t="array" ref="G133">SUM(distribution.outgoing.voice.by.destination*(offers.segment.all=$C133)*(TRANSPOSE(voice.destination.domestic)=G$123))</f>
        <v>0</v>
      </c>
      <c r="H133" s="81">
        <f t="array" ref="H133">SUM(distribution.outgoing.voice.by.destination*(offers.segment.all=$C133)*(TRANSPOSE(voice.destination.domestic)=H$123))</f>
        <v>0</v>
      </c>
      <c r="I133" s="81">
        <f t="array" ref="I133">SUM(distribution.outgoing.voice.by.destination*(offers.segment.all=$C133)*(TRANSPOSE(voice.destination.domestic)=I$123))</f>
        <v>0</v>
      </c>
      <c r="J133" s="81">
        <f t="array" ref="J133">SUM(distribution.outgoing.voice.by.destination*(offers.segment.all=$C133)*(TRANSPOSE(voice.destination.domestic)=J$123))</f>
        <v>0</v>
      </c>
      <c r="K133" s="81">
        <f t="array" ref="K133">SUM(distribution.outgoing.voice.by.destination*(offers.segment.all=$C133)*(TRANSPOSE(voice.destination.domestic)=K$123))</f>
        <v>0</v>
      </c>
      <c r="L133" s="81">
        <f t="array" ref="L133">SUM(distribution.outgoing.voice.by.destination*(offers.segment.all=$C133)*(TRANSPOSE(voice.destination.domestic)=L$123))</f>
        <v>0</v>
      </c>
      <c r="O133" s="169">
        <f t="shared" si="22"/>
        <v>0</v>
      </c>
      <c r="P133" s="103">
        <v>0</v>
      </c>
      <c r="Q133" s="169">
        <f t="shared" si="23"/>
        <v>0</v>
      </c>
      <c r="R133" s="103">
        <v>0</v>
      </c>
      <c r="S133" s="103">
        <v>0</v>
      </c>
      <c r="T133" s="103">
        <v>0</v>
      </c>
    </row>
    <row r="134" spans="3:20" ht="12" hidden="1" customHeight="1" outlineLevel="2">
      <c r="C134" s="73" t="str">
        <v>SpareOfferB11</v>
      </c>
      <c r="E134" t="s">
        <v>163</v>
      </c>
      <c r="G134" s="81">
        <f t="array" ref="G134">SUM(distribution.outgoing.voice.by.destination*(offers.segment.all=$C134)*(TRANSPOSE(voice.destination.domestic)=G$123))</f>
        <v>0</v>
      </c>
      <c r="H134" s="81">
        <f t="array" ref="H134">SUM(distribution.outgoing.voice.by.destination*(offers.segment.all=$C134)*(TRANSPOSE(voice.destination.domestic)=H$123))</f>
        <v>0</v>
      </c>
      <c r="I134" s="81">
        <f t="array" ref="I134">SUM(distribution.outgoing.voice.by.destination*(offers.segment.all=$C134)*(TRANSPOSE(voice.destination.domestic)=I$123))</f>
        <v>0</v>
      </c>
      <c r="J134" s="81">
        <f t="array" ref="J134">SUM(distribution.outgoing.voice.by.destination*(offers.segment.all=$C134)*(TRANSPOSE(voice.destination.domestic)=J$123))</f>
        <v>0</v>
      </c>
      <c r="K134" s="81">
        <f t="array" ref="K134">SUM(distribution.outgoing.voice.by.destination*(offers.segment.all=$C134)*(TRANSPOSE(voice.destination.domestic)=K$123))</f>
        <v>0</v>
      </c>
      <c r="L134" s="81">
        <f t="array" ref="L134">SUM(distribution.outgoing.voice.by.destination*(offers.segment.all=$C134)*(TRANSPOSE(voice.destination.domestic)=L$123))</f>
        <v>0</v>
      </c>
      <c r="O134" s="169">
        <f t="shared" si="22"/>
        <v>0</v>
      </c>
      <c r="P134" s="103">
        <v>0</v>
      </c>
      <c r="Q134" s="169">
        <f t="shared" si="23"/>
        <v>0</v>
      </c>
      <c r="R134" s="103">
        <v>0</v>
      </c>
      <c r="S134" s="103">
        <v>0</v>
      </c>
      <c r="T134" s="103">
        <v>0</v>
      </c>
    </row>
    <row r="135" spans="3:20" ht="12" hidden="1" customHeight="1" outlineLevel="2">
      <c r="C135" s="73" t="str">
        <v>SpareOfferB12</v>
      </c>
      <c r="E135" t="s">
        <v>163</v>
      </c>
      <c r="G135" s="81">
        <f t="array" ref="G135">SUM(distribution.outgoing.voice.by.destination*(offers.segment.all=$C135)*(TRANSPOSE(voice.destination.domestic)=G$123))</f>
        <v>0</v>
      </c>
      <c r="H135" s="81">
        <f t="array" ref="H135">SUM(distribution.outgoing.voice.by.destination*(offers.segment.all=$C135)*(TRANSPOSE(voice.destination.domestic)=H$123))</f>
        <v>0</v>
      </c>
      <c r="I135" s="81">
        <f t="array" ref="I135">SUM(distribution.outgoing.voice.by.destination*(offers.segment.all=$C135)*(TRANSPOSE(voice.destination.domestic)=I$123))</f>
        <v>0</v>
      </c>
      <c r="J135" s="81">
        <f t="array" ref="J135">SUM(distribution.outgoing.voice.by.destination*(offers.segment.all=$C135)*(TRANSPOSE(voice.destination.domestic)=J$123))</f>
        <v>0</v>
      </c>
      <c r="K135" s="81">
        <f t="array" ref="K135">SUM(distribution.outgoing.voice.by.destination*(offers.segment.all=$C135)*(TRANSPOSE(voice.destination.domestic)=K$123))</f>
        <v>0</v>
      </c>
      <c r="L135" s="81">
        <f t="array" ref="L135">SUM(distribution.outgoing.voice.by.destination*(offers.segment.all=$C135)*(TRANSPOSE(voice.destination.domestic)=L$123))</f>
        <v>0</v>
      </c>
      <c r="O135" s="169">
        <f t="shared" si="22"/>
        <v>0</v>
      </c>
      <c r="P135" s="103">
        <v>0</v>
      </c>
      <c r="Q135" s="169">
        <f t="shared" si="23"/>
        <v>0</v>
      </c>
      <c r="R135" s="103">
        <v>0</v>
      </c>
      <c r="S135" s="103">
        <v>0</v>
      </c>
      <c r="T135" s="103">
        <v>0</v>
      </c>
    </row>
    <row r="136" spans="3:20" ht="12" hidden="1" customHeight="1" outlineLevel="2">
      <c r="C136" s="73" t="str">
        <v>SpareOfferB13</v>
      </c>
      <c r="E136" t="s">
        <v>163</v>
      </c>
      <c r="G136" s="81">
        <f t="array" ref="G136">SUM(distribution.outgoing.voice.by.destination*(offers.segment.all=$C136)*(TRANSPOSE(voice.destination.domestic)=G$123))</f>
        <v>0</v>
      </c>
      <c r="H136" s="81">
        <f t="array" ref="H136">SUM(distribution.outgoing.voice.by.destination*(offers.segment.all=$C136)*(TRANSPOSE(voice.destination.domestic)=H$123))</f>
        <v>0</v>
      </c>
      <c r="I136" s="81">
        <f t="array" ref="I136">SUM(distribution.outgoing.voice.by.destination*(offers.segment.all=$C136)*(TRANSPOSE(voice.destination.domestic)=I$123))</f>
        <v>0</v>
      </c>
      <c r="J136" s="81">
        <f t="array" ref="J136">SUM(distribution.outgoing.voice.by.destination*(offers.segment.all=$C136)*(TRANSPOSE(voice.destination.domestic)=J$123))</f>
        <v>0</v>
      </c>
      <c r="K136" s="81">
        <f t="array" ref="K136">SUM(distribution.outgoing.voice.by.destination*(offers.segment.all=$C136)*(TRANSPOSE(voice.destination.domestic)=K$123))</f>
        <v>0</v>
      </c>
      <c r="L136" s="81">
        <f t="array" ref="L136">SUM(distribution.outgoing.voice.by.destination*(offers.segment.all=$C136)*(TRANSPOSE(voice.destination.domestic)=L$123))</f>
        <v>0</v>
      </c>
      <c r="O136" s="169">
        <f t="shared" si="22"/>
        <v>0</v>
      </c>
      <c r="P136" s="103">
        <v>0</v>
      </c>
      <c r="Q136" s="169">
        <f t="shared" si="23"/>
        <v>0</v>
      </c>
      <c r="R136" s="103">
        <v>0</v>
      </c>
      <c r="S136" s="103">
        <v>0</v>
      </c>
      <c r="T136" s="103">
        <v>0</v>
      </c>
    </row>
    <row r="137" spans="3:20" ht="12" hidden="1" customHeight="1" outlineLevel="2">
      <c r="C137" s="73" t="str">
        <v>SpareOfferB14</v>
      </c>
      <c r="E137" t="s">
        <v>163</v>
      </c>
      <c r="G137" s="81">
        <f t="array" ref="G137">SUM(distribution.outgoing.voice.by.destination*(offers.segment.all=$C137)*(TRANSPOSE(voice.destination.domestic)=G$123))</f>
        <v>0</v>
      </c>
      <c r="H137" s="81">
        <f t="array" ref="H137">SUM(distribution.outgoing.voice.by.destination*(offers.segment.all=$C137)*(TRANSPOSE(voice.destination.domestic)=H$123))</f>
        <v>0</v>
      </c>
      <c r="I137" s="81">
        <f t="array" ref="I137">SUM(distribution.outgoing.voice.by.destination*(offers.segment.all=$C137)*(TRANSPOSE(voice.destination.domestic)=I$123))</f>
        <v>0</v>
      </c>
      <c r="J137" s="81">
        <f t="array" ref="J137">SUM(distribution.outgoing.voice.by.destination*(offers.segment.all=$C137)*(TRANSPOSE(voice.destination.domestic)=J$123))</f>
        <v>0</v>
      </c>
      <c r="K137" s="81">
        <f t="array" ref="K137">SUM(distribution.outgoing.voice.by.destination*(offers.segment.all=$C137)*(TRANSPOSE(voice.destination.domestic)=K$123))</f>
        <v>0</v>
      </c>
      <c r="L137" s="81">
        <f t="array" ref="L137">SUM(distribution.outgoing.voice.by.destination*(offers.segment.all=$C137)*(TRANSPOSE(voice.destination.domestic)=L$123))</f>
        <v>0</v>
      </c>
      <c r="O137" s="169">
        <f t="shared" si="22"/>
        <v>0</v>
      </c>
      <c r="P137" s="103">
        <v>0</v>
      </c>
      <c r="Q137" s="169">
        <f t="shared" si="23"/>
        <v>0</v>
      </c>
      <c r="R137" s="103">
        <v>0</v>
      </c>
      <c r="S137" s="103">
        <v>0</v>
      </c>
      <c r="T137" s="103">
        <v>0</v>
      </c>
    </row>
    <row r="138" spans="3:20" ht="12" hidden="1" customHeight="1" outlineLevel="2">
      <c r="C138" s="73" t="str">
        <v>SpareOfferB15</v>
      </c>
      <c r="E138" t="s">
        <v>163</v>
      </c>
      <c r="G138" s="81">
        <f t="array" ref="G138">SUM(distribution.outgoing.voice.by.destination*(offers.segment.all=$C138)*(TRANSPOSE(voice.destination.domestic)=G$123))</f>
        <v>0</v>
      </c>
      <c r="H138" s="81">
        <f t="array" ref="H138">SUM(distribution.outgoing.voice.by.destination*(offers.segment.all=$C138)*(TRANSPOSE(voice.destination.domestic)=H$123))</f>
        <v>0</v>
      </c>
      <c r="I138" s="81">
        <f t="array" ref="I138">SUM(distribution.outgoing.voice.by.destination*(offers.segment.all=$C138)*(TRANSPOSE(voice.destination.domestic)=I$123))</f>
        <v>0</v>
      </c>
      <c r="J138" s="81">
        <f t="array" ref="J138">SUM(distribution.outgoing.voice.by.destination*(offers.segment.all=$C138)*(TRANSPOSE(voice.destination.domestic)=J$123))</f>
        <v>0</v>
      </c>
      <c r="K138" s="81">
        <f t="array" ref="K138">SUM(distribution.outgoing.voice.by.destination*(offers.segment.all=$C138)*(TRANSPOSE(voice.destination.domestic)=K$123))</f>
        <v>0</v>
      </c>
      <c r="L138" s="81">
        <f t="array" ref="L138">SUM(distribution.outgoing.voice.by.destination*(offers.segment.all=$C138)*(TRANSPOSE(voice.destination.domestic)=L$123))</f>
        <v>0</v>
      </c>
      <c r="O138" s="169">
        <f t="shared" si="22"/>
        <v>0</v>
      </c>
      <c r="P138" s="103">
        <v>0</v>
      </c>
      <c r="Q138" s="169">
        <f t="shared" si="23"/>
        <v>0</v>
      </c>
      <c r="R138" s="103">
        <v>0</v>
      </c>
      <c r="S138" s="103">
        <v>0</v>
      </c>
      <c r="T138" s="103">
        <v>0</v>
      </c>
    </row>
    <row r="139" spans="3:20" ht="12" hidden="1" customHeight="1" outlineLevel="2">
      <c r="C139" s="73" t="str">
        <v>SpareOfferB16</v>
      </c>
      <c r="E139" t="s">
        <v>163</v>
      </c>
      <c r="G139" s="81">
        <f t="array" ref="G139">SUM(distribution.outgoing.voice.by.destination*(offers.segment.all=$C139)*(TRANSPOSE(voice.destination.domestic)=G$123))</f>
        <v>0</v>
      </c>
      <c r="H139" s="81">
        <f t="array" ref="H139">SUM(distribution.outgoing.voice.by.destination*(offers.segment.all=$C139)*(TRANSPOSE(voice.destination.domestic)=H$123))</f>
        <v>0</v>
      </c>
      <c r="I139" s="81">
        <f t="array" ref="I139">SUM(distribution.outgoing.voice.by.destination*(offers.segment.all=$C139)*(TRANSPOSE(voice.destination.domestic)=I$123))</f>
        <v>0</v>
      </c>
      <c r="J139" s="81">
        <f t="array" ref="J139">SUM(distribution.outgoing.voice.by.destination*(offers.segment.all=$C139)*(TRANSPOSE(voice.destination.domestic)=J$123))</f>
        <v>0</v>
      </c>
      <c r="K139" s="81">
        <f t="array" ref="K139">SUM(distribution.outgoing.voice.by.destination*(offers.segment.all=$C139)*(TRANSPOSE(voice.destination.domestic)=K$123))</f>
        <v>0</v>
      </c>
      <c r="L139" s="81">
        <f t="array" ref="L139">SUM(distribution.outgoing.voice.by.destination*(offers.segment.all=$C139)*(TRANSPOSE(voice.destination.domestic)=L$123))</f>
        <v>0</v>
      </c>
      <c r="O139" s="169">
        <f t="shared" si="22"/>
        <v>0</v>
      </c>
      <c r="P139" s="103">
        <v>0</v>
      </c>
      <c r="Q139" s="169">
        <f t="shared" si="23"/>
        <v>0</v>
      </c>
      <c r="R139" s="103">
        <v>0</v>
      </c>
      <c r="S139" s="103">
        <v>0</v>
      </c>
      <c r="T139" s="103">
        <v>0</v>
      </c>
    </row>
    <row r="140" spans="3:20" ht="12" hidden="1" customHeight="1" outlineLevel="2">
      <c r="C140" s="73" t="str">
        <v>SpareOfferB17</v>
      </c>
      <c r="E140" t="s">
        <v>163</v>
      </c>
      <c r="G140" s="81">
        <f t="array" ref="G140">SUM(distribution.outgoing.voice.by.destination*(offers.segment.all=$C140)*(TRANSPOSE(voice.destination.domestic)=G$123))</f>
        <v>0</v>
      </c>
      <c r="H140" s="81">
        <f t="array" ref="H140">SUM(distribution.outgoing.voice.by.destination*(offers.segment.all=$C140)*(TRANSPOSE(voice.destination.domestic)=H$123))</f>
        <v>0</v>
      </c>
      <c r="I140" s="81">
        <f t="array" ref="I140">SUM(distribution.outgoing.voice.by.destination*(offers.segment.all=$C140)*(TRANSPOSE(voice.destination.domestic)=I$123))</f>
        <v>0</v>
      </c>
      <c r="J140" s="81">
        <f t="array" ref="J140">SUM(distribution.outgoing.voice.by.destination*(offers.segment.all=$C140)*(TRANSPOSE(voice.destination.domestic)=J$123))</f>
        <v>0</v>
      </c>
      <c r="K140" s="81">
        <f t="array" ref="K140">SUM(distribution.outgoing.voice.by.destination*(offers.segment.all=$C140)*(TRANSPOSE(voice.destination.domestic)=K$123))</f>
        <v>0</v>
      </c>
      <c r="L140" s="81">
        <f t="array" ref="L140">SUM(distribution.outgoing.voice.by.destination*(offers.segment.all=$C140)*(TRANSPOSE(voice.destination.domestic)=L$123))</f>
        <v>0</v>
      </c>
      <c r="O140" s="169">
        <f t="shared" si="22"/>
        <v>0</v>
      </c>
      <c r="P140" s="103">
        <v>0</v>
      </c>
      <c r="Q140" s="169">
        <f t="shared" si="23"/>
        <v>0</v>
      </c>
      <c r="R140" s="103">
        <v>0</v>
      </c>
      <c r="S140" s="103">
        <v>0</v>
      </c>
      <c r="T140" s="103">
        <v>0</v>
      </c>
    </row>
    <row r="141" spans="3:20" ht="12" hidden="1" customHeight="1" outlineLevel="2">
      <c r="C141" s="73" t="str">
        <v>SpareOfferB18</v>
      </c>
      <c r="E141" t="s">
        <v>163</v>
      </c>
      <c r="G141" s="81">
        <f t="array" ref="G141">SUM(distribution.outgoing.voice.by.destination*(offers.segment.all=$C141)*(TRANSPOSE(voice.destination.domestic)=G$123))</f>
        <v>0</v>
      </c>
      <c r="H141" s="81">
        <f t="array" ref="H141">SUM(distribution.outgoing.voice.by.destination*(offers.segment.all=$C141)*(TRANSPOSE(voice.destination.domestic)=H$123))</f>
        <v>0</v>
      </c>
      <c r="I141" s="81">
        <f t="array" ref="I141">SUM(distribution.outgoing.voice.by.destination*(offers.segment.all=$C141)*(TRANSPOSE(voice.destination.domestic)=I$123))</f>
        <v>0</v>
      </c>
      <c r="J141" s="81">
        <f t="array" ref="J141">SUM(distribution.outgoing.voice.by.destination*(offers.segment.all=$C141)*(TRANSPOSE(voice.destination.domestic)=J$123))</f>
        <v>0</v>
      </c>
      <c r="K141" s="81">
        <f t="array" ref="K141">SUM(distribution.outgoing.voice.by.destination*(offers.segment.all=$C141)*(TRANSPOSE(voice.destination.domestic)=K$123))</f>
        <v>0</v>
      </c>
      <c r="L141" s="81">
        <f t="array" ref="L141">SUM(distribution.outgoing.voice.by.destination*(offers.segment.all=$C141)*(TRANSPOSE(voice.destination.domestic)=L$123))</f>
        <v>0</v>
      </c>
      <c r="O141" s="169">
        <f t="shared" si="22"/>
        <v>0</v>
      </c>
      <c r="P141" s="103">
        <v>0</v>
      </c>
      <c r="Q141" s="169">
        <f t="shared" si="23"/>
        <v>0</v>
      </c>
      <c r="R141" s="103">
        <v>0</v>
      </c>
      <c r="S141" s="103">
        <v>0</v>
      </c>
      <c r="T141" s="103">
        <v>0</v>
      </c>
    </row>
    <row r="142" spans="3:20" ht="12" hidden="1" customHeight="1" outlineLevel="2">
      <c r="C142" s="73" t="str">
        <v>SpareOfferB19</v>
      </c>
      <c r="E142" t="s">
        <v>163</v>
      </c>
      <c r="G142" s="81">
        <f t="array" ref="G142">SUM(distribution.outgoing.voice.by.destination*(offers.segment.all=$C142)*(TRANSPOSE(voice.destination.domestic)=G$123))</f>
        <v>0</v>
      </c>
      <c r="H142" s="81">
        <f t="array" ref="H142">SUM(distribution.outgoing.voice.by.destination*(offers.segment.all=$C142)*(TRANSPOSE(voice.destination.domestic)=H$123))</f>
        <v>0</v>
      </c>
      <c r="I142" s="81">
        <f t="array" ref="I142">SUM(distribution.outgoing.voice.by.destination*(offers.segment.all=$C142)*(TRANSPOSE(voice.destination.domestic)=I$123))</f>
        <v>0</v>
      </c>
      <c r="J142" s="81">
        <f t="array" ref="J142">SUM(distribution.outgoing.voice.by.destination*(offers.segment.all=$C142)*(TRANSPOSE(voice.destination.domestic)=J$123))</f>
        <v>0</v>
      </c>
      <c r="K142" s="81">
        <f t="array" ref="K142">SUM(distribution.outgoing.voice.by.destination*(offers.segment.all=$C142)*(TRANSPOSE(voice.destination.domestic)=K$123))</f>
        <v>0</v>
      </c>
      <c r="L142" s="81">
        <f t="array" ref="L142">SUM(distribution.outgoing.voice.by.destination*(offers.segment.all=$C142)*(TRANSPOSE(voice.destination.domestic)=L$123))</f>
        <v>0</v>
      </c>
      <c r="O142" s="169">
        <f t="shared" si="22"/>
        <v>0</v>
      </c>
      <c r="P142" s="103">
        <v>0</v>
      </c>
      <c r="Q142" s="169">
        <f t="shared" si="23"/>
        <v>0</v>
      </c>
      <c r="R142" s="103">
        <v>0</v>
      </c>
      <c r="S142" s="103">
        <v>0</v>
      </c>
      <c r="T142" s="103">
        <v>0</v>
      </c>
    </row>
    <row r="143" spans="3:20" ht="12" hidden="1" customHeight="1" outlineLevel="2">
      <c r="C143" s="73" t="str">
        <v>SpareOfferB20</v>
      </c>
      <c r="E143" t="s">
        <v>163</v>
      </c>
      <c r="G143" s="81">
        <f t="array" ref="G143">SUM(distribution.outgoing.voice.by.destination*(offers.segment.all=$C143)*(TRANSPOSE(voice.destination.domestic)=G$123))</f>
        <v>0</v>
      </c>
      <c r="H143" s="81">
        <f t="array" ref="H143">SUM(distribution.outgoing.voice.by.destination*(offers.segment.all=$C143)*(TRANSPOSE(voice.destination.domestic)=H$123))</f>
        <v>0</v>
      </c>
      <c r="I143" s="81">
        <f t="array" ref="I143">SUM(distribution.outgoing.voice.by.destination*(offers.segment.all=$C143)*(TRANSPOSE(voice.destination.domestic)=I$123))</f>
        <v>0</v>
      </c>
      <c r="J143" s="81">
        <f t="array" ref="J143">SUM(distribution.outgoing.voice.by.destination*(offers.segment.all=$C143)*(TRANSPOSE(voice.destination.domestic)=J$123))</f>
        <v>0</v>
      </c>
      <c r="K143" s="81">
        <f t="array" ref="K143">SUM(distribution.outgoing.voice.by.destination*(offers.segment.all=$C143)*(TRANSPOSE(voice.destination.domestic)=K$123))</f>
        <v>0</v>
      </c>
      <c r="L143" s="81">
        <f t="array" ref="L143">SUM(distribution.outgoing.voice.by.destination*(offers.segment.all=$C143)*(TRANSPOSE(voice.destination.domestic)=L$123))</f>
        <v>0</v>
      </c>
      <c r="O143" s="169">
        <f t="shared" si="22"/>
        <v>0</v>
      </c>
      <c r="P143" s="103">
        <v>0</v>
      </c>
      <c r="Q143" s="169">
        <f t="shared" si="23"/>
        <v>0</v>
      </c>
      <c r="R143" s="103">
        <v>0</v>
      </c>
      <c r="S143" s="103">
        <v>0</v>
      </c>
      <c r="T143" s="103">
        <v>0</v>
      </c>
    </row>
    <row r="144" spans="3:20" ht="12" hidden="1" customHeight="1" outlineLevel="2">
      <c r="C144" s="73" t="str">
        <v>SpareOfferB21</v>
      </c>
      <c r="E144" t="s">
        <v>163</v>
      </c>
      <c r="G144" s="81">
        <f t="array" ref="G144">SUM(distribution.outgoing.voice.by.destination*(offers.segment.all=$C144)*(TRANSPOSE(voice.destination.domestic)=G$123))</f>
        <v>0</v>
      </c>
      <c r="H144" s="81">
        <f t="array" ref="H144">SUM(distribution.outgoing.voice.by.destination*(offers.segment.all=$C144)*(TRANSPOSE(voice.destination.domestic)=H$123))</f>
        <v>0</v>
      </c>
      <c r="I144" s="81">
        <f t="array" ref="I144">SUM(distribution.outgoing.voice.by.destination*(offers.segment.all=$C144)*(TRANSPOSE(voice.destination.domestic)=I$123))</f>
        <v>0</v>
      </c>
      <c r="J144" s="81">
        <f t="array" ref="J144">SUM(distribution.outgoing.voice.by.destination*(offers.segment.all=$C144)*(TRANSPOSE(voice.destination.domestic)=J$123))</f>
        <v>0</v>
      </c>
      <c r="K144" s="81">
        <f t="array" ref="K144">SUM(distribution.outgoing.voice.by.destination*(offers.segment.all=$C144)*(TRANSPOSE(voice.destination.domestic)=K$123))</f>
        <v>0</v>
      </c>
      <c r="L144" s="81">
        <f t="array" ref="L144">SUM(distribution.outgoing.voice.by.destination*(offers.segment.all=$C144)*(TRANSPOSE(voice.destination.domestic)=L$123))</f>
        <v>0</v>
      </c>
      <c r="O144" s="169">
        <f t="shared" si="22"/>
        <v>0</v>
      </c>
      <c r="P144" s="103">
        <v>0</v>
      </c>
      <c r="Q144" s="169">
        <f t="shared" si="23"/>
        <v>0</v>
      </c>
      <c r="R144" s="103">
        <v>0</v>
      </c>
      <c r="S144" s="103">
        <v>0</v>
      </c>
      <c r="T144" s="103">
        <v>0</v>
      </c>
    </row>
    <row r="145" spans="3:20" ht="12" hidden="1" customHeight="1" outlineLevel="2">
      <c r="C145" s="73" t="str">
        <v>SpareOfferB22</v>
      </c>
      <c r="E145" t="s">
        <v>163</v>
      </c>
      <c r="G145" s="81">
        <f t="array" ref="G145">SUM(distribution.outgoing.voice.by.destination*(offers.segment.all=$C145)*(TRANSPOSE(voice.destination.domestic)=G$123))</f>
        <v>0</v>
      </c>
      <c r="H145" s="81">
        <f t="array" ref="H145">SUM(distribution.outgoing.voice.by.destination*(offers.segment.all=$C145)*(TRANSPOSE(voice.destination.domestic)=H$123))</f>
        <v>0</v>
      </c>
      <c r="I145" s="81">
        <f t="array" ref="I145">SUM(distribution.outgoing.voice.by.destination*(offers.segment.all=$C145)*(TRANSPOSE(voice.destination.domestic)=I$123))</f>
        <v>0</v>
      </c>
      <c r="J145" s="81">
        <f t="array" ref="J145">SUM(distribution.outgoing.voice.by.destination*(offers.segment.all=$C145)*(TRANSPOSE(voice.destination.domestic)=J$123))</f>
        <v>0</v>
      </c>
      <c r="K145" s="81">
        <f t="array" ref="K145">SUM(distribution.outgoing.voice.by.destination*(offers.segment.all=$C145)*(TRANSPOSE(voice.destination.domestic)=K$123))</f>
        <v>0</v>
      </c>
      <c r="L145" s="81">
        <f t="array" ref="L145">SUM(distribution.outgoing.voice.by.destination*(offers.segment.all=$C145)*(TRANSPOSE(voice.destination.domestic)=L$123))</f>
        <v>0</v>
      </c>
      <c r="O145" s="169">
        <f t="shared" si="22"/>
        <v>0</v>
      </c>
      <c r="P145" s="103">
        <v>0</v>
      </c>
      <c r="Q145" s="169">
        <f t="shared" si="23"/>
        <v>0</v>
      </c>
      <c r="R145" s="103">
        <v>0</v>
      </c>
      <c r="S145" s="103">
        <v>0</v>
      </c>
      <c r="T145" s="103">
        <v>0</v>
      </c>
    </row>
    <row r="146" spans="3:20" ht="12" hidden="1" customHeight="1" outlineLevel="2">
      <c r="C146" s="73" t="str">
        <v>SpareOfferB23</v>
      </c>
      <c r="E146" t="s">
        <v>163</v>
      </c>
      <c r="G146" s="81">
        <f t="array" ref="G146">SUM(distribution.outgoing.voice.by.destination*(offers.segment.all=$C146)*(TRANSPOSE(voice.destination.domestic)=G$123))</f>
        <v>0</v>
      </c>
      <c r="H146" s="81">
        <f t="array" ref="H146">SUM(distribution.outgoing.voice.by.destination*(offers.segment.all=$C146)*(TRANSPOSE(voice.destination.domestic)=H$123))</f>
        <v>0</v>
      </c>
      <c r="I146" s="81">
        <f t="array" ref="I146">SUM(distribution.outgoing.voice.by.destination*(offers.segment.all=$C146)*(TRANSPOSE(voice.destination.domestic)=I$123))</f>
        <v>0</v>
      </c>
      <c r="J146" s="81">
        <f t="array" ref="J146">SUM(distribution.outgoing.voice.by.destination*(offers.segment.all=$C146)*(TRANSPOSE(voice.destination.domestic)=J$123))</f>
        <v>0</v>
      </c>
      <c r="K146" s="81">
        <f t="array" ref="K146">SUM(distribution.outgoing.voice.by.destination*(offers.segment.all=$C146)*(TRANSPOSE(voice.destination.domestic)=K$123))</f>
        <v>0</v>
      </c>
      <c r="L146" s="81">
        <f t="array" ref="L146">SUM(distribution.outgoing.voice.by.destination*(offers.segment.all=$C146)*(TRANSPOSE(voice.destination.domestic)=L$123))</f>
        <v>0</v>
      </c>
      <c r="O146" s="169">
        <f t="shared" si="22"/>
        <v>0</v>
      </c>
      <c r="P146" s="103">
        <v>0</v>
      </c>
      <c r="Q146" s="169">
        <f t="shared" si="23"/>
        <v>0</v>
      </c>
      <c r="R146" s="103">
        <v>0</v>
      </c>
      <c r="S146" s="103">
        <v>0</v>
      </c>
      <c r="T146" s="103">
        <v>0</v>
      </c>
    </row>
    <row r="147" spans="3:20" ht="12" hidden="1" customHeight="1" outlineLevel="2">
      <c r="C147" s="73" t="str">
        <v>SpareOfferB24</v>
      </c>
      <c r="E147" t="s">
        <v>163</v>
      </c>
      <c r="G147" s="81">
        <f t="array" ref="G147">SUM(distribution.outgoing.voice.by.destination*(offers.segment.all=$C147)*(TRANSPOSE(voice.destination.domestic)=G$123))</f>
        <v>0</v>
      </c>
      <c r="H147" s="81">
        <f t="array" ref="H147">SUM(distribution.outgoing.voice.by.destination*(offers.segment.all=$C147)*(TRANSPOSE(voice.destination.domestic)=H$123))</f>
        <v>0</v>
      </c>
      <c r="I147" s="81">
        <f t="array" ref="I147">SUM(distribution.outgoing.voice.by.destination*(offers.segment.all=$C147)*(TRANSPOSE(voice.destination.domestic)=I$123))</f>
        <v>0</v>
      </c>
      <c r="J147" s="81">
        <f t="array" ref="J147">SUM(distribution.outgoing.voice.by.destination*(offers.segment.all=$C147)*(TRANSPOSE(voice.destination.domestic)=J$123))</f>
        <v>0</v>
      </c>
      <c r="K147" s="81">
        <f t="array" ref="K147">SUM(distribution.outgoing.voice.by.destination*(offers.segment.all=$C147)*(TRANSPOSE(voice.destination.domestic)=K$123))</f>
        <v>0</v>
      </c>
      <c r="L147" s="81">
        <f t="array" ref="L147">SUM(distribution.outgoing.voice.by.destination*(offers.segment.all=$C147)*(TRANSPOSE(voice.destination.domestic)=L$123))</f>
        <v>0</v>
      </c>
      <c r="O147" s="169">
        <f t="shared" si="22"/>
        <v>0</v>
      </c>
      <c r="P147" s="103">
        <v>0</v>
      </c>
      <c r="Q147" s="169">
        <f t="shared" si="23"/>
        <v>0</v>
      </c>
      <c r="R147" s="103">
        <v>0</v>
      </c>
      <c r="S147" s="103">
        <v>0</v>
      </c>
      <c r="T147" s="103">
        <v>0</v>
      </c>
    </row>
    <row r="148" spans="3:20" ht="12" hidden="1" customHeight="1" outlineLevel="2">
      <c r="C148" s="73" t="str">
        <v>SpareOfferB25</v>
      </c>
      <c r="E148" t="s">
        <v>163</v>
      </c>
      <c r="G148" s="81">
        <f t="array" ref="G148">SUM(distribution.outgoing.voice.by.destination*(offers.segment.all=$C148)*(TRANSPOSE(voice.destination.domestic)=G$123))</f>
        <v>0</v>
      </c>
      <c r="H148" s="81">
        <f t="array" ref="H148">SUM(distribution.outgoing.voice.by.destination*(offers.segment.all=$C148)*(TRANSPOSE(voice.destination.domestic)=H$123))</f>
        <v>0</v>
      </c>
      <c r="I148" s="81">
        <f t="array" ref="I148">SUM(distribution.outgoing.voice.by.destination*(offers.segment.all=$C148)*(TRANSPOSE(voice.destination.domestic)=I$123))</f>
        <v>0</v>
      </c>
      <c r="J148" s="81">
        <f t="array" ref="J148">SUM(distribution.outgoing.voice.by.destination*(offers.segment.all=$C148)*(TRANSPOSE(voice.destination.domestic)=J$123))</f>
        <v>0</v>
      </c>
      <c r="K148" s="81">
        <f t="array" ref="K148">SUM(distribution.outgoing.voice.by.destination*(offers.segment.all=$C148)*(TRANSPOSE(voice.destination.domestic)=K$123))</f>
        <v>0</v>
      </c>
      <c r="L148" s="81">
        <f t="array" ref="L148">SUM(distribution.outgoing.voice.by.destination*(offers.segment.all=$C148)*(TRANSPOSE(voice.destination.domestic)=L$123))</f>
        <v>0</v>
      </c>
      <c r="O148" s="169">
        <f t="shared" si="22"/>
        <v>0</v>
      </c>
      <c r="P148" s="103">
        <v>0</v>
      </c>
      <c r="Q148" s="169">
        <f t="shared" si="23"/>
        <v>0</v>
      </c>
      <c r="R148" s="103">
        <v>0</v>
      </c>
      <c r="S148" s="103">
        <v>0</v>
      </c>
      <c r="T148" s="103">
        <v>0</v>
      </c>
    </row>
    <row r="149" spans="3:20" ht="12" hidden="1" customHeight="1" outlineLevel="2">
      <c r="C149" s="73" t="str">
        <v>SpareOfferB26</v>
      </c>
      <c r="E149" t="s">
        <v>163</v>
      </c>
      <c r="G149" s="81">
        <f t="array" ref="G149">SUM(distribution.outgoing.voice.by.destination*(offers.segment.all=$C149)*(TRANSPOSE(voice.destination.domestic)=G$123))</f>
        <v>0</v>
      </c>
      <c r="H149" s="81">
        <f t="array" ref="H149">SUM(distribution.outgoing.voice.by.destination*(offers.segment.all=$C149)*(TRANSPOSE(voice.destination.domestic)=H$123))</f>
        <v>0</v>
      </c>
      <c r="I149" s="81">
        <f t="array" ref="I149">SUM(distribution.outgoing.voice.by.destination*(offers.segment.all=$C149)*(TRANSPOSE(voice.destination.domestic)=I$123))</f>
        <v>0</v>
      </c>
      <c r="J149" s="81">
        <f t="array" ref="J149">SUM(distribution.outgoing.voice.by.destination*(offers.segment.all=$C149)*(TRANSPOSE(voice.destination.domestic)=J$123))</f>
        <v>0</v>
      </c>
      <c r="K149" s="81">
        <f t="array" ref="K149">SUM(distribution.outgoing.voice.by.destination*(offers.segment.all=$C149)*(TRANSPOSE(voice.destination.domestic)=K$123))</f>
        <v>0</v>
      </c>
      <c r="L149" s="81">
        <f t="array" ref="L149">SUM(distribution.outgoing.voice.by.destination*(offers.segment.all=$C149)*(TRANSPOSE(voice.destination.domestic)=L$123))</f>
        <v>0</v>
      </c>
      <c r="O149" s="169">
        <f t="shared" si="22"/>
        <v>0</v>
      </c>
      <c r="P149" s="103">
        <v>0</v>
      </c>
      <c r="Q149" s="169">
        <f t="shared" si="23"/>
        <v>0</v>
      </c>
      <c r="R149" s="103">
        <v>0</v>
      </c>
      <c r="S149" s="103">
        <v>0</v>
      </c>
      <c r="T149" s="103">
        <v>0</v>
      </c>
    </row>
    <row r="150" spans="3:20" ht="12" hidden="1" customHeight="1" outlineLevel="2">
      <c r="C150" s="73" t="str">
        <v>SpareOfferB27</v>
      </c>
      <c r="E150" t="s">
        <v>163</v>
      </c>
      <c r="G150" s="81">
        <f t="array" ref="G150">SUM(distribution.outgoing.voice.by.destination*(offers.segment.all=$C150)*(TRANSPOSE(voice.destination.domestic)=G$123))</f>
        <v>0</v>
      </c>
      <c r="H150" s="81">
        <f t="array" ref="H150">SUM(distribution.outgoing.voice.by.destination*(offers.segment.all=$C150)*(TRANSPOSE(voice.destination.domestic)=H$123))</f>
        <v>0</v>
      </c>
      <c r="I150" s="81">
        <f t="array" ref="I150">SUM(distribution.outgoing.voice.by.destination*(offers.segment.all=$C150)*(TRANSPOSE(voice.destination.domestic)=I$123))</f>
        <v>0</v>
      </c>
      <c r="J150" s="81">
        <f t="array" ref="J150">SUM(distribution.outgoing.voice.by.destination*(offers.segment.all=$C150)*(TRANSPOSE(voice.destination.domestic)=J$123))</f>
        <v>0</v>
      </c>
      <c r="K150" s="81">
        <f t="array" ref="K150">SUM(distribution.outgoing.voice.by.destination*(offers.segment.all=$C150)*(TRANSPOSE(voice.destination.domestic)=K$123))</f>
        <v>0</v>
      </c>
      <c r="L150" s="81">
        <f t="array" ref="L150">SUM(distribution.outgoing.voice.by.destination*(offers.segment.all=$C150)*(TRANSPOSE(voice.destination.domestic)=L$123))</f>
        <v>0</v>
      </c>
      <c r="O150" s="169">
        <f t="shared" si="22"/>
        <v>0</v>
      </c>
      <c r="P150" s="103">
        <v>0</v>
      </c>
      <c r="Q150" s="169">
        <f t="shared" si="23"/>
        <v>0</v>
      </c>
      <c r="R150" s="103">
        <v>0</v>
      </c>
      <c r="S150" s="103">
        <v>0</v>
      </c>
      <c r="T150" s="103">
        <v>0</v>
      </c>
    </row>
    <row r="151" spans="3:20" ht="12" hidden="1" customHeight="1" outlineLevel="2">
      <c r="C151" s="73" t="str">
        <v>SpareOfferB28</v>
      </c>
      <c r="E151" t="s">
        <v>163</v>
      </c>
      <c r="G151" s="81">
        <f t="array" ref="G151">SUM(distribution.outgoing.voice.by.destination*(offers.segment.all=$C151)*(TRANSPOSE(voice.destination.domestic)=G$123))</f>
        <v>0</v>
      </c>
      <c r="H151" s="81">
        <f t="array" ref="H151">SUM(distribution.outgoing.voice.by.destination*(offers.segment.all=$C151)*(TRANSPOSE(voice.destination.domestic)=H$123))</f>
        <v>0</v>
      </c>
      <c r="I151" s="81">
        <f t="array" ref="I151">SUM(distribution.outgoing.voice.by.destination*(offers.segment.all=$C151)*(TRANSPOSE(voice.destination.domestic)=I$123))</f>
        <v>0</v>
      </c>
      <c r="J151" s="81">
        <f t="array" ref="J151">SUM(distribution.outgoing.voice.by.destination*(offers.segment.all=$C151)*(TRANSPOSE(voice.destination.domestic)=J$123))</f>
        <v>0</v>
      </c>
      <c r="K151" s="81">
        <f t="array" ref="K151">SUM(distribution.outgoing.voice.by.destination*(offers.segment.all=$C151)*(TRANSPOSE(voice.destination.domestic)=K$123))</f>
        <v>0</v>
      </c>
      <c r="L151" s="81">
        <f t="array" ref="L151">SUM(distribution.outgoing.voice.by.destination*(offers.segment.all=$C151)*(TRANSPOSE(voice.destination.domestic)=L$123))</f>
        <v>0</v>
      </c>
      <c r="O151" s="169">
        <f t="shared" si="22"/>
        <v>0</v>
      </c>
      <c r="P151" s="103">
        <v>0</v>
      </c>
      <c r="Q151" s="169">
        <f t="shared" si="23"/>
        <v>0</v>
      </c>
      <c r="R151" s="103">
        <v>0</v>
      </c>
      <c r="S151" s="103">
        <v>0</v>
      </c>
      <c r="T151" s="103">
        <v>0</v>
      </c>
    </row>
    <row r="152" spans="3:20" ht="12" hidden="1" customHeight="1" outlineLevel="2">
      <c r="C152" s="73" t="str">
        <v>SpareOfferB29</v>
      </c>
      <c r="E152" t="s">
        <v>163</v>
      </c>
      <c r="G152" s="81">
        <f t="array" ref="G152">SUM(distribution.outgoing.voice.by.destination*(offers.segment.all=$C152)*(TRANSPOSE(voice.destination.domestic)=G$123))</f>
        <v>0</v>
      </c>
      <c r="H152" s="81">
        <f t="array" ref="H152">SUM(distribution.outgoing.voice.by.destination*(offers.segment.all=$C152)*(TRANSPOSE(voice.destination.domestic)=H$123))</f>
        <v>0</v>
      </c>
      <c r="I152" s="81">
        <f t="array" ref="I152">SUM(distribution.outgoing.voice.by.destination*(offers.segment.all=$C152)*(TRANSPOSE(voice.destination.domestic)=I$123))</f>
        <v>0</v>
      </c>
      <c r="J152" s="81">
        <f t="array" ref="J152">SUM(distribution.outgoing.voice.by.destination*(offers.segment.all=$C152)*(TRANSPOSE(voice.destination.domestic)=J$123))</f>
        <v>0</v>
      </c>
      <c r="K152" s="81">
        <f t="array" ref="K152">SUM(distribution.outgoing.voice.by.destination*(offers.segment.all=$C152)*(TRANSPOSE(voice.destination.domestic)=K$123))</f>
        <v>0</v>
      </c>
      <c r="L152" s="81">
        <f t="array" ref="L152">SUM(distribution.outgoing.voice.by.destination*(offers.segment.all=$C152)*(TRANSPOSE(voice.destination.domestic)=L$123))</f>
        <v>0</v>
      </c>
      <c r="O152" s="169">
        <f t="shared" si="22"/>
        <v>0</v>
      </c>
      <c r="P152" s="103">
        <v>0</v>
      </c>
      <c r="Q152" s="169">
        <f t="shared" si="23"/>
        <v>0</v>
      </c>
      <c r="R152" s="103">
        <v>0</v>
      </c>
      <c r="S152" s="103">
        <v>0</v>
      </c>
      <c r="T152" s="103">
        <v>0</v>
      </c>
    </row>
    <row r="153" spans="3:20" ht="12" hidden="1" customHeight="1" outlineLevel="2">
      <c r="C153" s="73" t="str">
        <v>SpareOfferB30</v>
      </c>
      <c r="E153" t="s">
        <v>163</v>
      </c>
      <c r="G153" s="81">
        <f t="array" ref="G153">SUM(distribution.outgoing.voice.by.destination*(offers.segment.all=$C153)*(TRANSPOSE(voice.destination.domestic)=G$123))</f>
        <v>0</v>
      </c>
      <c r="H153" s="81">
        <f t="array" ref="H153">SUM(distribution.outgoing.voice.by.destination*(offers.segment.all=$C153)*(TRANSPOSE(voice.destination.domestic)=H$123))</f>
        <v>0</v>
      </c>
      <c r="I153" s="81">
        <f t="array" ref="I153">SUM(distribution.outgoing.voice.by.destination*(offers.segment.all=$C153)*(TRANSPOSE(voice.destination.domestic)=I$123))</f>
        <v>0</v>
      </c>
      <c r="J153" s="81">
        <f t="array" ref="J153">SUM(distribution.outgoing.voice.by.destination*(offers.segment.all=$C153)*(TRANSPOSE(voice.destination.domestic)=J$123))</f>
        <v>0</v>
      </c>
      <c r="K153" s="81">
        <f t="array" ref="K153">SUM(distribution.outgoing.voice.by.destination*(offers.segment.all=$C153)*(TRANSPOSE(voice.destination.domestic)=K$123))</f>
        <v>0</v>
      </c>
      <c r="L153" s="81">
        <f t="array" ref="L153">SUM(distribution.outgoing.voice.by.destination*(offers.segment.all=$C153)*(TRANSPOSE(voice.destination.domestic)=L$123))</f>
        <v>0</v>
      </c>
      <c r="O153" s="169">
        <f t="shared" si="22"/>
        <v>0</v>
      </c>
      <c r="P153" s="103">
        <v>0</v>
      </c>
      <c r="Q153" s="169">
        <f t="shared" si="23"/>
        <v>0</v>
      </c>
      <c r="R153" s="103">
        <v>0</v>
      </c>
      <c r="S153" s="103">
        <v>0</v>
      </c>
      <c r="T153" s="103">
        <v>0</v>
      </c>
    </row>
    <row r="154" spans="3:20" ht="12" hidden="1" customHeight="1" outlineLevel="2">
      <c r="C154" s="73" t="str">
        <v>SpareOfferB31</v>
      </c>
      <c r="E154" t="s">
        <v>163</v>
      </c>
      <c r="G154" s="81">
        <f t="array" ref="G154">SUM(distribution.outgoing.voice.by.destination*(offers.segment.all=$C154)*(TRANSPOSE(voice.destination.domestic)=G$123))</f>
        <v>0</v>
      </c>
      <c r="H154" s="81">
        <f t="array" ref="H154">SUM(distribution.outgoing.voice.by.destination*(offers.segment.all=$C154)*(TRANSPOSE(voice.destination.domestic)=H$123))</f>
        <v>0</v>
      </c>
      <c r="I154" s="81">
        <f t="array" ref="I154">SUM(distribution.outgoing.voice.by.destination*(offers.segment.all=$C154)*(TRANSPOSE(voice.destination.domestic)=I$123))</f>
        <v>0</v>
      </c>
      <c r="J154" s="81">
        <f t="array" ref="J154">SUM(distribution.outgoing.voice.by.destination*(offers.segment.all=$C154)*(TRANSPOSE(voice.destination.domestic)=J$123))</f>
        <v>0</v>
      </c>
      <c r="K154" s="81">
        <f t="array" ref="K154">SUM(distribution.outgoing.voice.by.destination*(offers.segment.all=$C154)*(TRANSPOSE(voice.destination.domestic)=K$123))</f>
        <v>0</v>
      </c>
      <c r="L154" s="81">
        <f t="array" ref="L154">SUM(distribution.outgoing.voice.by.destination*(offers.segment.all=$C154)*(TRANSPOSE(voice.destination.domestic)=L$123))</f>
        <v>0</v>
      </c>
      <c r="O154" s="169">
        <f t="shared" si="22"/>
        <v>0</v>
      </c>
      <c r="P154" s="103">
        <v>0</v>
      </c>
      <c r="Q154" s="169">
        <f t="shared" si="23"/>
        <v>0</v>
      </c>
      <c r="R154" s="103">
        <v>0</v>
      </c>
      <c r="S154" s="103">
        <v>0</v>
      </c>
      <c r="T154" s="103">
        <v>0</v>
      </c>
    </row>
    <row r="155" spans="3:20" ht="12" hidden="1" customHeight="1" outlineLevel="2">
      <c r="C155" s="73" t="str">
        <v>SpareOfferB32</v>
      </c>
      <c r="E155" t="s">
        <v>163</v>
      </c>
      <c r="G155" s="81">
        <f t="array" ref="G155">SUM(distribution.outgoing.voice.by.destination*(offers.segment.all=$C155)*(TRANSPOSE(voice.destination.domestic)=G$123))</f>
        <v>0</v>
      </c>
      <c r="H155" s="81">
        <f t="array" ref="H155">SUM(distribution.outgoing.voice.by.destination*(offers.segment.all=$C155)*(TRANSPOSE(voice.destination.domestic)=H$123))</f>
        <v>0</v>
      </c>
      <c r="I155" s="81">
        <f t="array" ref="I155">SUM(distribution.outgoing.voice.by.destination*(offers.segment.all=$C155)*(TRANSPOSE(voice.destination.domestic)=I$123))</f>
        <v>0</v>
      </c>
      <c r="J155" s="81">
        <f t="array" ref="J155">SUM(distribution.outgoing.voice.by.destination*(offers.segment.all=$C155)*(TRANSPOSE(voice.destination.domestic)=J$123))</f>
        <v>0</v>
      </c>
      <c r="K155" s="81">
        <f t="array" ref="K155">SUM(distribution.outgoing.voice.by.destination*(offers.segment.all=$C155)*(TRANSPOSE(voice.destination.domestic)=K$123))</f>
        <v>0</v>
      </c>
      <c r="L155" s="81">
        <f t="array" ref="L155">SUM(distribution.outgoing.voice.by.destination*(offers.segment.all=$C155)*(TRANSPOSE(voice.destination.domestic)=L$123))</f>
        <v>0</v>
      </c>
      <c r="O155" s="169">
        <f t="shared" si="22"/>
        <v>0</v>
      </c>
      <c r="P155" s="103">
        <v>0</v>
      </c>
      <c r="Q155" s="169">
        <f t="shared" si="23"/>
        <v>0</v>
      </c>
      <c r="R155" s="103">
        <v>0</v>
      </c>
      <c r="S155" s="103">
        <v>0</v>
      </c>
      <c r="T155" s="103">
        <v>0</v>
      </c>
    </row>
    <row r="156" spans="3:20" ht="12" hidden="1" customHeight="1" outlineLevel="2">
      <c r="C156" s="73" t="str">
        <v>SpareOfferB33</v>
      </c>
      <c r="E156" t="s">
        <v>163</v>
      </c>
      <c r="G156" s="81">
        <f t="array" ref="G156">SUM(distribution.outgoing.voice.by.destination*(offers.segment.all=$C156)*(TRANSPOSE(voice.destination.domestic)=G$123))</f>
        <v>0</v>
      </c>
      <c r="H156" s="81">
        <f t="array" ref="H156">SUM(distribution.outgoing.voice.by.destination*(offers.segment.all=$C156)*(TRANSPOSE(voice.destination.domestic)=H$123))</f>
        <v>0</v>
      </c>
      <c r="I156" s="81">
        <f t="array" ref="I156">SUM(distribution.outgoing.voice.by.destination*(offers.segment.all=$C156)*(TRANSPOSE(voice.destination.domestic)=I$123))</f>
        <v>0</v>
      </c>
      <c r="J156" s="81">
        <f t="array" ref="J156">SUM(distribution.outgoing.voice.by.destination*(offers.segment.all=$C156)*(TRANSPOSE(voice.destination.domestic)=J$123))</f>
        <v>0</v>
      </c>
      <c r="K156" s="81">
        <f t="array" ref="K156">SUM(distribution.outgoing.voice.by.destination*(offers.segment.all=$C156)*(TRANSPOSE(voice.destination.domestic)=K$123))</f>
        <v>0</v>
      </c>
      <c r="L156" s="81">
        <f t="array" ref="L156">SUM(distribution.outgoing.voice.by.destination*(offers.segment.all=$C156)*(TRANSPOSE(voice.destination.domestic)=L$123))</f>
        <v>0</v>
      </c>
      <c r="O156" s="169">
        <f t="shared" si="22"/>
        <v>0</v>
      </c>
      <c r="P156" s="103">
        <v>0</v>
      </c>
      <c r="Q156" s="169">
        <f t="shared" si="23"/>
        <v>0</v>
      </c>
      <c r="R156" s="103">
        <v>0</v>
      </c>
      <c r="S156" s="103">
        <v>0</v>
      </c>
      <c r="T156" s="103">
        <v>0</v>
      </c>
    </row>
    <row r="157" spans="3:20" ht="12" hidden="1" customHeight="1" outlineLevel="2">
      <c r="C157" s="73" t="str">
        <v>SpareOfferB34</v>
      </c>
      <c r="E157" t="s">
        <v>163</v>
      </c>
      <c r="G157" s="81">
        <f t="array" ref="G157">SUM(distribution.outgoing.voice.by.destination*(offers.segment.all=$C157)*(TRANSPOSE(voice.destination.domestic)=G$123))</f>
        <v>0</v>
      </c>
      <c r="H157" s="81">
        <f t="array" ref="H157">SUM(distribution.outgoing.voice.by.destination*(offers.segment.all=$C157)*(TRANSPOSE(voice.destination.domestic)=H$123))</f>
        <v>0</v>
      </c>
      <c r="I157" s="81">
        <f t="array" ref="I157">SUM(distribution.outgoing.voice.by.destination*(offers.segment.all=$C157)*(TRANSPOSE(voice.destination.domestic)=I$123))</f>
        <v>0</v>
      </c>
      <c r="J157" s="81">
        <f t="array" ref="J157">SUM(distribution.outgoing.voice.by.destination*(offers.segment.all=$C157)*(TRANSPOSE(voice.destination.domestic)=J$123))</f>
        <v>0</v>
      </c>
      <c r="K157" s="81">
        <f t="array" ref="K157">SUM(distribution.outgoing.voice.by.destination*(offers.segment.all=$C157)*(TRANSPOSE(voice.destination.domestic)=K$123))</f>
        <v>0</v>
      </c>
      <c r="L157" s="81">
        <f t="array" ref="L157">SUM(distribution.outgoing.voice.by.destination*(offers.segment.all=$C157)*(TRANSPOSE(voice.destination.domestic)=L$123))</f>
        <v>0</v>
      </c>
      <c r="O157" s="169">
        <f t="shared" si="22"/>
        <v>0</v>
      </c>
      <c r="P157" s="103">
        <v>0</v>
      </c>
      <c r="Q157" s="169">
        <f t="shared" si="23"/>
        <v>0</v>
      </c>
      <c r="R157" s="103">
        <v>0</v>
      </c>
      <c r="S157" s="103">
        <v>0</v>
      </c>
      <c r="T157" s="103">
        <v>0</v>
      </c>
    </row>
    <row r="158" spans="3:20" outlineLevel="1" collapsed="1">
      <c r="C158" s="73" t="str">
        <v>SpareOfferB35</v>
      </c>
      <c r="E158" t="s">
        <v>163</v>
      </c>
      <c r="G158" s="81">
        <f t="array" ref="G158">SUM(distribution.outgoing.voice.by.destination*(offers.segment.all=$C158)*(TRANSPOSE(voice.destination.domestic)=G$123))</f>
        <v>0</v>
      </c>
      <c r="H158" s="81">
        <f t="array" ref="H158">SUM(distribution.outgoing.voice.by.destination*(offers.segment.all=$C158)*(TRANSPOSE(voice.destination.domestic)=H$123))</f>
        <v>0</v>
      </c>
      <c r="I158" s="81">
        <f t="array" ref="I158">SUM(distribution.outgoing.voice.by.destination*(offers.segment.all=$C158)*(TRANSPOSE(voice.destination.domestic)=I$123))</f>
        <v>0</v>
      </c>
      <c r="J158" s="81">
        <f t="array" ref="J158">SUM(distribution.outgoing.voice.by.destination*(offers.segment.all=$C158)*(TRANSPOSE(voice.destination.domestic)=J$123))</f>
        <v>0</v>
      </c>
      <c r="K158" s="81">
        <f t="array" ref="K158">SUM(distribution.outgoing.voice.by.destination*(offers.segment.all=$C158)*(TRANSPOSE(voice.destination.domestic)=K$123))</f>
        <v>0</v>
      </c>
      <c r="L158" s="81">
        <f t="array" ref="L158">SUM(distribution.outgoing.voice.by.destination*(offers.segment.all=$C158)*(TRANSPOSE(voice.destination.domestic)=L$123))</f>
        <v>0</v>
      </c>
      <c r="O158" s="169">
        <f t="shared" si="22"/>
        <v>0</v>
      </c>
      <c r="P158" s="103">
        <v>0</v>
      </c>
      <c r="Q158" s="169">
        <f t="shared" si="23"/>
        <v>0</v>
      </c>
      <c r="R158" s="103">
        <v>0</v>
      </c>
      <c r="S158" s="103">
        <v>0</v>
      </c>
      <c r="T158" s="103">
        <v>0</v>
      </c>
    </row>
    <row r="159" spans="3:20" outlineLevel="1"/>
    <row r="160" spans="3:20" ht="12" customHeight="1" outlineLevel="1">
      <c r="C160" s="91" t="s">
        <v>485</v>
      </c>
      <c r="G160" s="66" t="s">
        <v>308</v>
      </c>
      <c r="H160" s="66"/>
      <c r="I160" s="66"/>
      <c r="J160" s="66"/>
      <c r="K160" s="66"/>
      <c r="L160" s="66"/>
      <c r="O160" s="66" t="s">
        <v>161</v>
      </c>
      <c r="P160" s="66"/>
      <c r="Q160" s="66"/>
      <c r="S160" s="66" t="s">
        <v>177</v>
      </c>
      <c r="T160" s="66"/>
    </row>
    <row r="161" spans="2:20" ht="23" outlineLevel="1">
      <c r="C161" s="1" t="s">
        <v>309</v>
      </c>
      <c r="G161" s="95" t="str">
        <f t="array" ref="G161:L161">options.selected.basic</f>
        <v>National voice</v>
      </c>
      <c r="H161" s="95" t="str">
        <v>International voice</v>
      </c>
      <c r="I161" s="95" t="str">
        <v>National SMS</v>
      </c>
      <c r="J161" s="95" t="str">
        <v>International SMS</v>
      </c>
      <c r="K161" s="95" t="str">
        <v>National data</v>
      </c>
      <c r="L161" s="95" t="str">
        <v>Spare 1</v>
      </c>
      <c r="O161" s="95" t="str">
        <f t="array" ref="O161:Q161">options.selected.VAS</f>
        <v>VAS minutes</v>
      </c>
      <c r="P161" s="95" t="str">
        <v>VAS BankID</v>
      </c>
      <c r="Q161" s="95" t="str">
        <v>Other VAS messages</v>
      </c>
      <c r="S161" s="95" t="str">
        <f t="array" ref="S161:T161">options.selected.termination</f>
        <v>Voice termination</v>
      </c>
      <c r="T161" s="95" t="str">
        <v>Message termination</v>
      </c>
    </row>
    <row r="162" spans="2:20" outlineLevel="1">
      <c r="B162">
        <f t="shared" ref="B162:B196" si="24">MATCH(C162,offers.segment.all,0)</f>
        <v>36</v>
      </c>
      <c r="C162" s="73" t="str">
        <f t="array" ref="C162:C196">offers.segment.2</f>
        <v>SpareOfferB1</v>
      </c>
      <c r="G162" s="101">
        <f t="shared" ref="G162:L171" si="25">INDEX(per.sub.volumes.by.demand.descriptions,$B162,MATCH(G$161,demand.descriptions.short,0))</f>
        <v>0</v>
      </c>
      <c r="H162" s="101">
        <f t="shared" si="25"/>
        <v>0</v>
      </c>
      <c r="I162" s="101">
        <f t="shared" si="25"/>
        <v>0</v>
      </c>
      <c r="J162" s="101">
        <f t="shared" si="25"/>
        <v>0</v>
      </c>
      <c r="K162" s="101">
        <f t="shared" si="25"/>
        <v>0</v>
      </c>
      <c r="L162" s="101">
        <f t="shared" si="25"/>
        <v>0</v>
      </c>
      <c r="O162" s="101">
        <f t="shared" ref="O162:Q181" si="26">INDEX(per.sub.volumes.by.demand.descriptions,$B162,MATCH(O$161,demand.descriptions.short,0))</f>
        <v>0</v>
      </c>
      <c r="P162" s="101">
        <f t="shared" si="26"/>
        <v>0</v>
      </c>
      <c r="Q162" s="101">
        <f t="shared" si="26"/>
        <v>0</v>
      </c>
      <c r="S162" s="101">
        <f t="shared" ref="S162:T181" si="27">INDEX(per.sub.volumes.by.demand.descriptions,$B162,MATCH(S$161,demand.descriptions.short,0))</f>
        <v>0</v>
      </c>
      <c r="T162" s="101">
        <f t="shared" si="27"/>
        <v>0</v>
      </c>
    </row>
    <row r="163" spans="2:20" hidden="1" outlineLevel="2">
      <c r="B163">
        <f t="shared" si="24"/>
        <v>37</v>
      </c>
      <c r="C163" s="73" t="str">
        <v>SpareOfferB2</v>
      </c>
      <c r="G163" s="101">
        <f t="shared" si="25"/>
        <v>0</v>
      </c>
      <c r="H163" s="101">
        <f t="shared" si="25"/>
        <v>0</v>
      </c>
      <c r="I163" s="101">
        <f t="shared" si="25"/>
        <v>0</v>
      </c>
      <c r="J163" s="101">
        <f t="shared" si="25"/>
        <v>0</v>
      </c>
      <c r="K163" s="101">
        <f t="shared" si="25"/>
        <v>0</v>
      </c>
      <c r="L163" s="101">
        <f t="shared" si="25"/>
        <v>0</v>
      </c>
      <c r="O163" s="101">
        <f t="shared" si="26"/>
        <v>0</v>
      </c>
      <c r="P163" s="101">
        <f t="shared" si="26"/>
        <v>0</v>
      </c>
      <c r="Q163" s="101">
        <f t="shared" si="26"/>
        <v>0</v>
      </c>
      <c r="S163" s="101">
        <f t="shared" si="27"/>
        <v>0</v>
      </c>
      <c r="T163" s="101">
        <f t="shared" si="27"/>
        <v>0</v>
      </c>
    </row>
    <row r="164" spans="2:20" hidden="1" outlineLevel="2">
      <c r="B164">
        <f t="shared" si="24"/>
        <v>38</v>
      </c>
      <c r="C164" s="73" t="str">
        <v>SpareOfferB3</v>
      </c>
      <c r="G164" s="101">
        <f t="shared" si="25"/>
        <v>0</v>
      </c>
      <c r="H164" s="101">
        <f t="shared" si="25"/>
        <v>0</v>
      </c>
      <c r="I164" s="101">
        <f t="shared" si="25"/>
        <v>0</v>
      </c>
      <c r="J164" s="101">
        <f t="shared" si="25"/>
        <v>0</v>
      </c>
      <c r="K164" s="101">
        <f t="shared" si="25"/>
        <v>0</v>
      </c>
      <c r="L164" s="101">
        <f t="shared" si="25"/>
        <v>0</v>
      </c>
      <c r="O164" s="101">
        <f t="shared" si="26"/>
        <v>0</v>
      </c>
      <c r="P164" s="101">
        <f t="shared" si="26"/>
        <v>0</v>
      </c>
      <c r="Q164" s="101">
        <f t="shared" si="26"/>
        <v>0</v>
      </c>
      <c r="S164" s="101">
        <f t="shared" si="27"/>
        <v>0</v>
      </c>
      <c r="T164" s="101">
        <f t="shared" si="27"/>
        <v>0</v>
      </c>
    </row>
    <row r="165" spans="2:20" hidden="1" outlineLevel="2">
      <c r="B165">
        <f t="shared" si="24"/>
        <v>39</v>
      </c>
      <c r="C165" s="73" t="str">
        <v>SpareOfferB4</v>
      </c>
      <c r="G165" s="101">
        <f t="shared" si="25"/>
        <v>0</v>
      </c>
      <c r="H165" s="101">
        <f t="shared" si="25"/>
        <v>0</v>
      </c>
      <c r="I165" s="101">
        <f t="shared" si="25"/>
        <v>0</v>
      </c>
      <c r="J165" s="101">
        <f t="shared" si="25"/>
        <v>0</v>
      </c>
      <c r="K165" s="101">
        <f t="shared" si="25"/>
        <v>0</v>
      </c>
      <c r="L165" s="101">
        <f t="shared" si="25"/>
        <v>0</v>
      </c>
      <c r="O165" s="101">
        <f t="shared" si="26"/>
        <v>0</v>
      </c>
      <c r="P165" s="101">
        <f t="shared" si="26"/>
        <v>0</v>
      </c>
      <c r="Q165" s="101">
        <f t="shared" si="26"/>
        <v>0</v>
      </c>
      <c r="S165" s="101">
        <f t="shared" si="27"/>
        <v>0</v>
      </c>
      <c r="T165" s="101">
        <f t="shared" si="27"/>
        <v>0</v>
      </c>
    </row>
    <row r="166" spans="2:20" hidden="1" outlineLevel="2">
      <c r="B166">
        <f t="shared" si="24"/>
        <v>40</v>
      </c>
      <c r="C166" s="73" t="str">
        <v>SpareOfferB5</v>
      </c>
      <c r="G166" s="101">
        <f t="shared" si="25"/>
        <v>0</v>
      </c>
      <c r="H166" s="101">
        <f t="shared" si="25"/>
        <v>0</v>
      </c>
      <c r="I166" s="101">
        <f t="shared" si="25"/>
        <v>0</v>
      </c>
      <c r="J166" s="101">
        <f t="shared" si="25"/>
        <v>0</v>
      </c>
      <c r="K166" s="101">
        <f t="shared" si="25"/>
        <v>0</v>
      </c>
      <c r="L166" s="101">
        <f t="shared" si="25"/>
        <v>0</v>
      </c>
      <c r="O166" s="101">
        <f t="shared" si="26"/>
        <v>0</v>
      </c>
      <c r="P166" s="101">
        <f t="shared" si="26"/>
        <v>0</v>
      </c>
      <c r="Q166" s="101">
        <f t="shared" si="26"/>
        <v>0</v>
      </c>
      <c r="S166" s="101">
        <f t="shared" si="27"/>
        <v>0</v>
      </c>
      <c r="T166" s="101">
        <f t="shared" si="27"/>
        <v>0</v>
      </c>
    </row>
    <row r="167" spans="2:20" hidden="1" outlineLevel="2">
      <c r="B167">
        <f t="shared" si="24"/>
        <v>41</v>
      </c>
      <c r="C167" s="73" t="str">
        <v>SpareOfferB6</v>
      </c>
      <c r="G167" s="101">
        <f t="shared" si="25"/>
        <v>0</v>
      </c>
      <c r="H167" s="101">
        <f t="shared" si="25"/>
        <v>0</v>
      </c>
      <c r="I167" s="101">
        <f t="shared" si="25"/>
        <v>0</v>
      </c>
      <c r="J167" s="101">
        <f t="shared" si="25"/>
        <v>0</v>
      </c>
      <c r="K167" s="101">
        <f t="shared" si="25"/>
        <v>0</v>
      </c>
      <c r="L167" s="101">
        <f t="shared" si="25"/>
        <v>0</v>
      </c>
      <c r="O167" s="101">
        <f t="shared" si="26"/>
        <v>0</v>
      </c>
      <c r="P167" s="101">
        <f t="shared" si="26"/>
        <v>0</v>
      </c>
      <c r="Q167" s="101">
        <f t="shared" si="26"/>
        <v>0</v>
      </c>
      <c r="S167" s="101">
        <f t="shared" si="27"/>
        <v>0</v>
      </c>
      <c r="T167" s="101">
        <f t="shared" si="27"/>
        <v>0</v>
      </c>
    </row>
    <row r="168" spans="2:20" hidden="1" outlineLevel="2">
      <c r="B168">
        <f t="shared" si="24"/>
        <v>42</v>
      </c>
      <c r="C168" s="73" t="str">
        <v>SpareOfferB7</v>
      </c>
      <c r="G168" s="101">
        <f t="shared" si="25"/>
        <v>0</v>
      </c>
      <c r="H168" s="101">
        <f t="shared" si="25"/>
        <v>0</v>
      </c>
      <c r="I168" s="101">
        <f t="shared" si="25"/>
        <v>0</v>
      </c>
      <c r="J168" s="101">
        <f t="shared" si="25"/>
        <v>0</v>
      </c>
      <c r="K168" s="101">
        <f t="shared" si="25"/>
        <v>0</v>
      </c>
      <c r="L168" s="101">
        <f t="shared" si="25"/>
        <v>0</v>
      </c>
      <c r="O168" s="101">
        <f t="shared" si="26"/>
        <v>0</v>
      </c>
      <c r="P168" s="101">
        <f t="shared" si="26"/>
        <v>0</v>
      </c>
      <c r="Q168" s="101">
        <f t="shared" si="26"/>
        <v>0</v>
      </c>
      <c r="S168" s="101">
        <f t="shared" si="27"/>
        <v>0</v>
      </c>
      <c r="T168" s="101">
        <f t="shared" si="27"/>
        <v>0</v>
      </c>
    </row>
    <row r="169" spans="2:20" hidden="1" outlineLevel="2">
      <c r="B169">
        <f t="shared" si="24"/>
        <v>43</v>
      </c>
      <c r="C169" s="73" t="str">
        <v>SpareOfferB8</v>
      </c>
      <c r="G169" s="101">
        <f t="shared" si="25"/>
        <v>0</v>
      </c>
      <c r="H169" s="101">
        <f t="shared" si="25"/>
        <v>0</v>
      </c>
      <c r="I169" s="101">
        <f t="shared" si="25"/>
        <v>0</v>
      </c>
      <c r="J169" s="101">
        <f t="shared" si="25"/>
        <v>0</v>
      </c>
      <c r="K169" s="101">
        <f t="shared" si="25"/>
        <v>0</v>
      </c>
      <c r="L169" s="101">
        <f t="shared" si="25"/>
        <v>0</v>
      </c>
      <c r="O169" s="101">
        <f t="shared" si="26"/>
        <v>0</v>
      </c>
      <c r="P169" s="101">
        <f t="shared" si="26"/>
        <v>0</v>
      </c>
      <c r="Q169" s="101">
        <f t="shared" si="26"/>
        <v>0</v>
      </c>
      <c r="S169" s="101">
        <f t="shared" si="27"/>
        <v>0</v>
      </c>
      <c r="T169" s="101">
        <f t="shared" si="27"/>
        <v>0</v>
      </c>
    </row>
    <row r="170" spans="2:20" hidden="1" outlineLevel="2">
      <c r="B170">
        <f t="shared" si="24"/>
        <v>44</v>
      </c>
      <c r="C170" s="73" t="str">
        <v>SpareOfferB9</v>
      </c>
      <c r="G170" s="101">
        <f t="shared" si="25"/>
        <v>0</v>
      </c>
      <c r="H170" s="101">
        <f t="shared" si="25"/>
        <v>0</v>
      </c>
      <c r="I170" s="101">
        <f t="shared" si="25"/>
        <v>0</v>
      </c>
      <c r="J170" s="101">
        <f t="shared" si="25"/>
        <v>0</v>
      </c>
      <c r="K170" s="101">
        <f t="shared" si="25"/>
        <v>0</v>
      </c>
      <c r="L170" s="101">
        <f t="shared" si="25"/>
        <v>0</v>
      </c>
      <c r="O170" s="101">
        <f t="shared" si="26"/>
        <v>0</v>
      </c>
      <c r="P170" s="101">
        <f t="shared" si="26"/>
        <v>0</v>
      </c>
      <c r="Q170" s="101">
        <f t="shared" si="26"/>
        <v>0</v>
      </c>
      <c r="S170" s="101">
        <f t="shared" si="27"/>
        <v>0</v>
      </c>
      <c r="T170" s="101">
        <f t="shared" si="27"/>
        <v>0</v>
      </c>
    </row>
    <row r="171" spans="2:20" hidden="1" outlineLevel="2">
      <c r="B171">
        <f t="shared" si="24"/>
        <v>45</v>
      </c>
      <c r="C171" s="73" t="str">
        <v>SpareOfferB10</v>
      </c>
      <c r="G171" s="101">
        <f t="shared" si="25"/>
        <v>0</v>
      </c>
      <c r="H171" s="101">
        <f t="shared" si="25"/>
        <v>0</v>
      </c>
      <c r="I171" s="101">
        <f t="shared" si="25"/>
        <v>0</v>
      </c>
      <c r="J171" s="101">
        <f t="shared" si="25"/>
        <v>0</v>
      </c>
      <c r="K171" s="101">
        <f t="shared" si="25"/>
        <v>0</v>
      </c>
      <c r="L171" s="101">
        <f t="shared" si="25"/>
        <v>0</v>
      </c>
      <c r="O171" s="101">
        <f t="shared" si="26"/>
        <v>0</v>
      </c>
      <c r="P171" s="101">
        <f t="shared" si="26"/>
        <v>0</v>
      </c>
      <c r="Q171" s="101">
        <f t="shared" si="26"/>
        <v>0</v>
      </c>
      <c r="S171" s="101">
        <f t="shared" si="27"/>
        <v>0</v>
      </c>
      <c r="T171" s="101">
        <f t="shared" si="27"/>
        <v>0</v>
      </c>
    </row>
    <row r="172" spans="2:20" hidden="1" outlineLevel="2">
      <c r="B172">
        <f t="shared" si="24"/>
        <v>46</v>
      </c>
      <c r="C172" s="73" t="str">
        <v>SpareOfferB11</v>
      </c>
      <c r="G172" s="101">
        <f t="shared" ref="G172:L181" si="28">INDEX(per.sub.volumes.by.demand.descriptions,$B172,MATCH(G$161,demand.descriptions.short,0))</f>
        <v>0</v>
      </c>
      <c r="H172" s="101">
        <f t="shared" si="28"/>
        <v>0</v>
      </c>
      <c r="I172" s="101">
        <f t="shared" si="28"/>
        <v>0</v>
      </c>
      <c r="J172" s="101">
        <f t="shared" si="28"/>
        <v>0</v>
      </c>
      <c r="K172" s="101">
        <f t="shared" si="28"/>
        <v>0</v>
      </c>
      <c r="L172" s="101">
        <f t="shared" si="28"/>
        <v>0</v>
      </c>
      <c r="O172" s="101">
        <f t="shared" si="26"/>
        <v>0</v>
      </c>
      <c r="P172" s="101">
        <f t="shared" si="26"/>
        <v>0</v>
      </c>
      <c r="Q172" s="101">
        <f t="shared" si="26"/>
        <v>0</v>
      </c>
      <c r="S172" s="101">
        <f t="shared" si="27"/>
        <v>0</v>
      </c>
      <c r="T172" s="101">
        <f t="shared" si="27"/>
        <v>0</v>
      </c>
    </row>
    <row r="173" spans="2:20" hidden="1" outlineLevel="2">
      <c r="B173">
        <f t="shared" si="24"/>
        <v>47</v>
      </c>
      <c r="C173" s="73" t="str">
        <v>SpareOfferB12</v>
      </c>
      <c r="G173" s="101">
        <f t="shared" si="28"/>
        <v>0</v>
      </c>
      <c r="H173" s="101">
        <f t="shared" si="28"/>
        <v>0</v>
      </c>
      <c r="I173" s="101">
        <f t="shared" si="28"/>
        <v>0</v>
      </c>
      <c r="J173" s="101">
        <f t="shared" si="28"/>
        <v>0</v>
      </c>
      <c r="K173" s="101">
        <f t="shared" si="28"/>
        <v>0</v>
      </c>
      <c r="L173" s="101">
        <f t="shared" si="28"/>
        <v>0</v>
      </c>
      <c r="O173" s="101">
        <f t="shared" si="26"/>
        <v>0</v>
      </c>
      <c r="P173" s="101">
        <f t="shared" si="26"/>
        <v>0</v>
      </c>
      <c r="Q173" s="101">
        <f t="shared" si="26"/>
        <v>0</v>
      </c>
      <c r="S173" s="101">
        <f t="shared" si="27"/>
        <v>0</v>
      </c>
      <c r="T173" s="101">
        <f t="shared" si="27"/>
        <v>0</v>
      </c>
    </row>
    <row r="174" spans="2:20" hidden="1" outlineLevel="2">
      <c r="B174">
        <f t="shared" si="24"/>
        <v>48</v>
      </c>
      <c r="C174" s="73" t="str">
        <v>SpareOfferB13</v>
      </c>
      <c r="G174" s="101">
        <f t="shared" si="28"/>
        <v>0</v>
      </c>
      <c r="H174" s="101">
        <f t="shared" si="28"/>
        <v>0</v>
      </c>
      <c r="I174" s="101">
        <f t="shared" si="28"/>
        <v>0</v>
      </c>
      <c r="J174" s="101">
        <f t="shared" si="28"/>
        <v>0</v>
      </c>
      <c r="K174" s="101">
        <f t="shared" si="28"/>
        <v>0</v>
      </c>
      <c r="L174" s="101">
        <f t="shared" si="28"/>
        <v>0</v>
      </c>
      <c r="O174" s="101">
        <f t="shared" si="26"/>
        <v>0</v>
      </c>
      <c r="P174" s="101">
        <f t="shared" si="26"/>
        <v>0</v>
      </c>
      <c r="Q174" s="101">
        <f t="shared" si="26"/>
        <v>0</v>
      </c>
      <c r="S174" s="101">
        <f t="shared" si="27"/>
        <v>0</v>
      </c>
      <c r="T174" s="101">
        <f t="shared" si="27"/>
        <v>0</v>
      </c>
    </row>
    <row r="175" spans="2:20" hidden="1" outlineLevel="2">
      <c r="B175">
        <f t="shared" si="24"/>
        <v>49</v>
      </c>
      <c r="C175" s="73" t="str">
        <v>SpareOfferB14</v>
      </c>
      <c r="G175" s="101">
        <f t="shared" si="28"/>
        <v>0</v>
      </c>
      <c r="H175" s="101">
        <f t="shared" si="28"/>
        <v>0</v>
      </c>
      <c r="I175" s="101">
        <f t="shared" si="28"/>
        <v>0</v>
      </c>
      <c r="J175" s="101">
        <f t="shared" si="28"/>
        <v>0</v>
      </c>
      <c r="K175" s="101">
        <f t="shared" si="28"/>
        <v>0</v>
      </c>
      <c r="L175" s="101">
        <f t="shared" si="28"/>
        <v>0</v>
      </c>
      <c r="O175" s="101">
        <f t="shared" si="26"/>
        <v>0</v>
      </c>
      <c r="P175" s="101">
        <f t="shared" si="26"/>
        <v>0</v>
      </c>
      <c r="Q175" s="101">
        <f t="shared" si="26"/>
        <v>0</v>
      </c>
      <c r="S175" s="101">
        <f t="shared" si="27"/>
        <v>0</v>
      </c>
      <c r="T175" s="101">
        <f t="shared" si="27"/>
        <v>0</v>
      </c>
    </row>
    <row r="176" spans="2:20" hidden="1" outlineLevel="2">
      <c r="B176">
        <f t="shared" si="24"/>
        <v>50</v>
      </c>
      <c r="C176" s="73" t="str">
        <v>SpareOfferB15</v>
      </c>
      <c r="G176" s="101">
        <f t="shared" si="28"/>
        <v>0</v>
      </c>
      <c r="H176" s="101">
        <f t="shared" si="28"/>
        <v>0</v>
      </c>
      <c r="I176" s="101">
        <f t="shared" si="28"/>
        <v>0</v>
      </c>
      <c r="J176" s="101">
        <f t="shared" si="28"/>
        <v>0</v>
      </c>
      <c r="K176" s="101">
        <f t="shared" si="28"/>
        <v>0</v>
      </c>
      <c r="L176" s="101">
        <f t="shared" si="28"/>
        <v>0</v>
      </c>
      <c r="O176" s="101">
        <f t="shared" si="26"/>
        <v>0</v>
      </c>
      <c r="P176" s="101">
        <f t="shared" si="26"/>
        <v>0</v>
      </c>
      <c r="Q176" s="101">
        <f t="shared" si="26"/>
        <v>0</v>
      </c>
      <c r="S176" s="101">
        <f t="shared" si="27"/>
        <v>0</v>
      </c>
      <c r="T176" s="101">
        <f t="shared" si="27"/>
        <v>0</v>
      </c>
    </row>
    <row r="177" spans="2:20" hidden="1" outlineLevel="2">
      <c r="B177">
        <f t="shared" si="24"/>
        <v>51</v>
      </c>
      <c r="C177" s="73" t="str">
        <v>SpareOfferB16</v>
      </c>
      <c r="G177" s="101">
        <f t="shared" si="28"/>
        <v>0</v>
      </c>
      <c r="H177" s="101">
        <f t="shared" si="28"/>
        <v>0</v>
      </c>
      <c r="I177" s="101">
        <f t="shared" si="28"/>
        <v>0</v>
      </c>
      <c r="J177" s="101">
        <f t="shared" si="28"/>
        <v>0</v>
      </c>
      <c r="K177" s="101">
        <f t="shared" si="28"/>
        <v>0</v>
      </c>
      <c r="L177" s="101">
        <f t="shared" si="28"/>
        <v>0</v>
      </c>
      <c r="O177" s="101">
        <f t="shared" si="26"/>
        <v>0</v>
      </c>
      <c r="P177" s="101">
        <f t="shared" si="26"/>
        <v>0</v>
      </c>
      <c r="Q177" s="101">
        <f t="shared" si="26"/>
        <v>0</v>
      </c>
      <c r="S177" s="101">
        <f t="shared" si="27"/>
        <v>0</v>
      </c>
      <c r="T177" s="101">
        <f t="shared" si="27"/>
        <v>0</v>
      </c>
    </row>
    <row r="178" spans="2:20" hidden="1" outlineLevel="2">
      <c r="B178">
        <f t="shared" si="24"/>
        <v>52</v>
      </c>
      <c r="C178" s="73" t="str">
        <v>SpareOfferB17</v>
      </c>
      <c r="G178" s="101">
        <f t="shared" si="28"/>
        <v>0</v>
      </c>
      <c r="H178" s="101">
        <f t="shared" si="28"/>
        <v>0</v>
      </c>
      <c r="I178" s="101">
        <f t="shared" si="28"/>
        <v>0</v>
      </c>
      <c r="J178" s="101">
        <f t="shared" si="28"/>
        <v>0</v>
      </c>
      <c r="K178" s="101">
        <f t="shared" si="28"/>
        <v>0</v>
      </c>
      <c r="L178" s="101">
        <f t="shared" si="28"/>
        <v>0</v>
      </c>
      <c r="O178" s="101">
        <f t="shared" si="26"/>
        <v>0</v>
      </c>
      <c r="P178" s="101">
        <f t="shared" si="26"/>
        <v>0</v>
      </c>
      <c r="Q178" s="101">
        <f t="shared" si="26"/>
        <v>0</v>
      </c>
      <c r="S178" s="101">
        <f t="shared" si="27"/>
        <v>0</v>
      </c>
      <c r="T178" s="101">
        <f t="shared" si="27"/>
        <v>0</v>
      </c>
    </row>
    <row r="179" spans="2:20" hidden="1" outlineLevel="2">
      <c r="B179">
        <f t="shared" si="24"/>
        <v>53</v>
      </c>
      <c r="C179" s="73" t="str">
        <v>SpareOfferB18</v>
      </c>
      <c r="G179" s="101">
        <f t="shared" si="28"/>
        <v>0</v>
      </c>
      <c r="H179" s="101">
        <f t="shared" si="28"/>
        <v>0</v>
      </c>
      <c r="I179" s="101">
        <f t="shared" si="28"/>
        <v>0</v>
      </c>
      <c r="J179" s="101">
        <f t="shared" si="28"/>
        <v>0</v>
      </c>
      <c r="K179" s="101">
        <f t="shared" si="28"/>
        <v>0</v>
      </c>
      <c r="L179" s="101">
        <f t="shared" si="28"/>
        <v>0</v>
      </c>
      <c r="O179" s="101">
        <f t="shared" si="26"/>
        <v>0</v>
      </c>
      <c r="P179" s="101">
        <f t="shared" si="26"/>
        <v>0</v>
      </c>
      <c r="Q179" s="101">
        <f t="shared" si="26"/>
        <v>0</v>
      </c>
      <c r="S179" s="101">
        <f t="shared" si="27"/>
        <v>0</v>
      </c>
      <c r="T179" s="101">
        <f t="shared" si="27"/>
        <v>0</v>
      </c>
    </row>
    <row r="180" spans="2:20" hidden="1" outlineLevel="2">
      <c r="B180">
        <f t="shared" si="24"/>
        <v>54</v>
      </c>
      <c r="C180" s="73" t="str">
        <v>SpareOfferB19</v>
      </c>
      <c r="G180" s="101">
        <f t="shared" si="28"/>
        <v>0</v>
      </c>
      <c r="H180" s="101">
        <f t="shared" si="28"/>
        <v>0</v>
      </c>
      <c r="I180" s="101">
        <f t="shared" si="28"/>
        <v>0</v>
      </c>
      <c r="J180" s="101">
        <f t="shared" si="28"/>
        <v>0</v>
      </c>
      <c r="K180" s="101">
        <f t="shared" si="28"/>
        <v>0</v>
      </c>
      <c r="L180" s="101">
        <f t="shared" si="28"/>
        <v>0</v>
      </c>
      <c r="O180" s="101">
        <f t="shared" si="26"/>
        <v>0</v>
      </c>
      <c r="P180" s="101">
        <f t="shared" si="26"/>
        <v>0</v>
      </c>
      <c r="Q180" s="101">
        <f t="shared" si="26"/>
        <v>0</v>
      </c>
      <c r="S180" s="101">
        <f t="shared" si="27"/>
        <v>0</v>
      </c>
      <c r="T180" s="101">
        <f t="shared" si="27"/>
        <v>0</v>
      </c>
    </row>
    <row r="181" spans="2:20" hidden="1" outlineLevel="2">
      <c r="B181">
        <f t="shared" si="24"/>
        <v>55</v>
      </c>
      <c r="C181" s="73" t="str">
        <v>SpareOfferB20</v>
      </c>
      <c r="G181" s="101">
        <f t="shared" si="28"/>
        <v>0</v>
      </c>
      <c r="H181" s="101">
        <f t="shared" si="28"/>
        <v>0</v>
      </c>
      <c r="I181" s="101">
        <f t="shared" si="28"/>
        <v>0</v>
      </c>
      <c r="J181" s="101">
        <f t="shared" si="28"/>
        <v>0</v>
      </c>
      <c r="K181" s="101">
        <f t="shared" si="28"/>
        <v>0</v>
      </c>
      <c r="L181" s="101">
        <f t="shared" si="28"/>
        <v>0</v>
      </c>
      <c r="O181" s="101">
        <f t="shared" si="26"/>
        <v>0</v>
      </c>
      <c r="P181" s="101">
        <f t="shared" si="26"/>
        <v>0</v>
      </c>
      <c r="Q181" s="101">
        <f t="shared" si="26"/>
        <v>0</v>
      </c>
      <c r="S181" s="101">
        <f t="shared" si="27"/>
        <v>0</v>
      </c>
      <c r="T181" s="101">
        <f t="shared" si="27"/>
        <v>0</v>
      </c>
    </row>
    <row r="182" spans="2:20" hidden="1" outlineLevel="2">
      <c r="B182">
        <f t="shared" si="24"/>
        <v>56</v>
      </c>
      <c r="C182" s="73" t="str">
        <v>SpareOfferB21</v>
      </c>
      <c r="G182" s="101">
        <f t="shared" ref="G182:L196" si="29">INDEX(per.sub.volumes.by.demand.descriptions,$B182,MATCH(G$161,demand.descriptions.short,0))</f>
        <v>0</v>
      </c>
      <c r="H182" s="101">
        <f t="shared" si="29"/>
        <v>0</v>
      </c>
      <c r="I182" s="101">
        <f t="shared" si="29"/>
        <v>0</v>
      </c>
      <c r="J182" s="101">
        <f t="shared" si="29"/>
        <v>0</v>
      </c>
      <c r="K182" s="101">
        <f t="shared" si="29"/>
        <v>0</v>
      </c>
      <c r="L182" s="101">
        <f t="shared" si="29"/>
        <v>0</v>
      </c>
      <c r="O182" s="101">
        <f t="shared" ref="O182:Q196" si="30">INDEX(per.sub.volumes.by.demand.descriptions,$B182,MATCH(O$161,demand.descriptions.short,0))</f>
        <v>0</v>
      </c>
      <c r="P182" s="101">
        <f t="shared" si="30"/>
        <v>0</v>
      </c>
      <c r="Q182" s="101">
        <f t="shared" si="30"/>
        <v>0</v>
      </c>
      <c r="S182" s="101">
        <f t="shared" ref="S182:T196" si="31">INDEX(per.sub.volumes.by.demand.descriptions,$B182,MATCH(S$161,demand.descriptions.short,0))</f>
        <v>0</v>
      </c>
      <c r="T182" s="101">
        <f t="shared" si="31"/>
        <v>0</v>
      </c>
    </row>
    <row r="183" spans="2:20" hidden="1" outlineLevel="2">
      <c r="B183">
        <f t="shared" si="24"/>
        <v>57</v>
      </c>
      <c r="C183" s="73" t="str">
        <v>SpareOfferB22</v>
      </c>
      <c r="G183" s="101">
        <f t="shared" si="29"/>
        <v>0</v>
      </c>
      <c r="H183" s="101">
        <f t="shared" si="29"/>
        <v>0</v>
      </c>
      <c r="I183" s="101">
        <f t="shared" si="29"/>
        <v>0</v>
      </c>
      <c r="J183" s="101">
        <f t="shared" si="29"/>
        <v>0</v>
      </c>
      <c r="K183" s="101">
        <f t="shared" si="29"/>
        <v>0</v>
      </c>
      <c r="L183" s="101">
        <f t="shared" si="29"/>
        <v>0</v>
      </c>
      <c r="O183" s="101">
        <f t="shared" si="30"/>
        <v>0</v>
      </c>
      <c r="P183" s="101">
        <f t="shared" si="30"/>
        <v>0</v>
      </c>
      <c r="Q183" s="101">
        <f t="shared" si="30"/>
        <v>0</v>
      </c>
      <c r="S183" s="101">
        <f t="shared" si="31"/>
        <v>0</v>
      </c>
      <c r="T183" s="101">
        <f t="shared" si="31"/>
        <v>0</v>
      </c>
    </row>
    <row r="184" spans="2:20" hidden="1" outlineLevel="2">
      <c r="B184">
        <f t="shared" si="24"/>
        <v>58</v>
      </c>
      <c r="C184" s="73" t="str">
        <v>SpareOfferB23</v>
      </c>
      <c r="G184" s="101">
        <f t="shared" si="29"/>
        <v>0</v>
      </c>
      <c r="H184" s="101">
        <f t="shared" si="29"/>
        <v>0</v>
      </c>
      <c r="I184" s="101">
        <f t="shared" si="29"/>
        <v>0</v>
      </c>
      <c r="J184" s="101">
        <f t="shared" si="29"/>
        <v>0</v>
      </c>
      <c r="K184" s="101">
        <f t="shared" si="29"/>
        <v>0</v>
      </c>
      <c r="L184" s="101">
        <f t="shared" si="29"/>
        <v>0</v>
      </c>
      <c r="O184" s="101">
        <f t="shared" si="30"/>
        <v>0</v>
      </c>
      <c r="P184" s="101">
        <f t="shared" si="30"/>
        <v>0</v>
      </c>
      <c r="Q184" s="101">
        <f t="shared" si="30"/>
        <v>0</v>
      </c>
      <c r="S184" s="101">
        <f t="shared" si="31"/>
        <v>0</v>
      </c>
      <c r="T184" s="101">
        <f t="shared" si="31"/>
        <v>0</v>
      </c>
    </row>
    <row r="185" spans="2:20" hidden="1" outlineLevel="2">
      <c r="B185">
        <f t="shared" si="24"/>
        <v>59</v>
      </c>
      <c r="C185" s="73" t="str">
        <v>SpareOfferB24</v>
      </c>
      <c r="G185" s="101">
        <f t="shared" si="29"/>
        <v>0</v>
      </c>
      <c r="H185" s="101">
        <f t="shared" si="29"/>
        <v>0</v>
      </c>
      <c r="I185" s="101">
        <f t="shared" si="29"/>
        <v>0</v>
      </c>
      <c r="J185" s="101">
        <f t="shared" si="29"/>
        <v>0</v>
      </c>
      <c r="K185" s="101">
        <f t="shared" si="29"/>
        <v>0</v>
      </c>
      <c r="L185" s="101">
        <f t="shared" si="29"/>
        <v>0</v>
      </c>
      <c r="O185" s="101">
        <f t="shared" si="30"/>
        <v>0</v>
      </c>
      <c r="P185" s="101">
        <f t="shared" si="30"/>
        <v>0</v>
      </c>
      <c r="Q185" s="101">
        <f t="shared" si="30"/>
        <v>0</v>
      </c>
      <c r="S185" s="101">
        <f t="shared" si="31"/>
        <v>0</v>
      </c>
      <c r="T185" s="101">
        <f t="shared" si="31"/>
        <v>0</v>
      </c>
    </row>
    <row r="186" spans="2:20" hidden="1" outlineLevel="2">
      <c r="B186">
        <f t="shared" si="24"/>
        <v>60</v>
      </c>
      <c r="C186" s="73" t="str">
        <v>SpareOfferB25</v>
      </c>
      <c r="G186" s="101">
        <f t="shared" si="29"/>
        <v>0</v>
      </c>
      <c r="H186" s="101">
        <f t="shared" si="29"/>
        <v>0</v>
      </c>
      <c r="I186" s="101">
        <f t="shared" si="29"/>
        <v>0</v>
      </c>
      <c r="J186" s="101">
        <f t="shared" si="29"/>
        <v>0</v>
      </c>
      <c r="K186" s="101">
        <f t="shared" si="29"/>
        <v>0</v>
      </c>
      <c r="L186" s="101">
        <f t="shared" si="29"/>
        <v>0</v>
      </c>
      <c r="O186" s="101">
        <f t="shared" si="30"/>
        <v>0</v>
      </c>
      <c r="P186" s="101">
        <f t="shared" si="30"/>
        <v>0</v>
      </c>
      <c r="Q186" s="101">
        <f t="shared" si="30"/>
        <v>0</v>
      </c>
      <c r="S186" s="101">
        <f t="shared" si="31"/>
        <v>0</v>
      </c>
      <c r="T186" s="101">
        <f t="shared" si="31"/>
        <v>0</v>
      </c>
    </row>
    <row r="187" spans="2:20" hidden="1" outlineLevel="2">
      <c r="B187">
        <f t="shared" si="24"/>
        <v>61</v>
      </c>
      <c r="C187" s="73" t="str">
        <v>SpareOfferB26</v>
      </c>
      <c r="G187" s="101">
        <f t="shared" si="29"/>
        <v>0</v>
      </c>
      <c r="H187" s="101">
        <f t="shared" si="29"/>
        <v>0</v>
      </c>
      <c r="I187" s="101">
        <f t="shared" si="29"/>
        <v>0</v>
      </c>
      <c r="J187" s="101">
        <f t="shared" si="29"/>
        <v>0</v>
      </c>
      <c r="K187" s="101">
        <f t="shared" si="29"/>
        <v>0</v>
      </c>
      <c r="L187" s="101">
        <f t="shared" si="29"/>
        <v>0</v>
      </c>
      <c r="O187" s="101">
        <f t="shared" si="30"/>
        <v>0</v>
      </c>
      <c r="P187" s="101">
        <f t="shared" si="30"/>
        <v>0</v>
      </c>
      <c r="Q187" s="101">
        <f t="shared" si="30"/>
        <v>0</v>
      </c>
      <c r="S187" s="101">
        <f t="shared" si="31"/>
        <v>0</v>
      </c>
      <c r="T187" s="101">
        <f t="shared" si="31"/>
        <v>0</v>
      </c>
    </row>
    <row r="188" spans="2:20" hidden="1" outlineLevel="2">
      <c r="B188">
        <f t="shared" si="24"/>
        <v>62</v>
      </c>
      <c r="C188" s="73" t="str">
        <v>SpareOfferB27</v>
      </c>
      <c r="G188" s="101">
        <f t="shared" si="29"/>
        <v>0</v>
      </c>
      <c r="H188" s="101">
        <f t="shared" si="29"/>
        <v>0</v>
      </c>
      <c r="I188" s="101">
        <f t="shared" si="29"/>
        <v>0</v>
      </c>
      <c r="J188" s="101">
        <f t="shared" si="29"/>
        <v>0</v>
      </c>
      <c r="K188" s="101">
        <f t="shared" si="29"/>
        <v>0</v>
      </c>
      <c r="L188" s="101">
        <f t="shared" si="29"/>
        <v>0</v>
      </c>
      <c r="O188" s="101">
        <f t="shared" si="30"/>
        <v>0</v>
      </c>
      <c r="P188" s="101">
        <f t="shared" si="30"/>
        <v>0</v>
      </c>
      <c r="Q188" s="101">
        <f t="shared" si="30"/>
        <v>0</v>
      </c>
      <c r="S188" s="101">
        <f t="shared" si="31"/>
        <v>0</v>
      </c>
      <c r="T188" s="101">
        <f t="shared" si="31"/>
        <v>0</v>
      </c>
    </row>
    <row r="189" spans="2:20" hidden="1" outlineLevel="2">
      <c r="B189">
        <f t="shared" si="24"/>
        <v>63</v>
      </c>
      <c r="C189" s="73" t="str">
        <v>SpareOfferB28</v>
      </c>
      <c r="G189" s="101">
        <f t="shared" si="29"/>
        <v>0</v>
      </c>
      <c r="H189" s="101">
        <f t="shared" si="29"/>
        <v>0</v>
      </c>
      <c r="I189" s="101">
        <f t="shared" si="29"/>
        <v>0</v>
      </c>
      <c r="J189" s="101">
        <f t="shared" si="29"/>
        <v>0</v>
      </c>
      <c r="K189" s="101">
        <f t="shared" si="29"/>
        <v>0</v>
      </c>
      <c r="L189" s="101">
        <f t="shared" si="29"/>
        <v>0</v>
      </c>
      <c r="O189" s="101">
        <f t="shared" si="30"/>
        <v>0</v>
      </c>
      <c r="P189" s="101">
        <f t="shared" si="30"/>
        <v>0</v>
      </c>
      <c r="Q189" s="101">
        <f t="shared" si="30"/>
        <v>0</v>
      </c>
      <c r="S189" s="101">
        <f t="shared" si="31"/>
        <v>0</v>
      </c>
      <c r="T189" s="101">
        <f t="shared" si="31"/>
        <v>0</v>
      </c>
    </row>
    <row r="190" spans="2:20" hidden="1" outlineLevel="2">
      <c r="B190">
        <f t="shared" si="24"/>
        <v>64</v>
      </c>
      <c r="C190" s="73" t="str">
        <v>SpareOfferB29</v>
      </c>
      <c r="G190" s="101">
        <f t="shared" si="29"/>
        <v>0</v>
      </c>
      <c r="H190" s="101">
        <f t="shared" si="29"/>
        <v>0</v>
      </c>
      <c r="I190" s="101">
        <f t="shared" si="29"/>
        <v>0</v>
      </c>
      <c r="J190" s="101">
        <f t="shared" si="29"/>
        <v>0</v>
      </c>
      <c r="K190" s="101">
        <f t="shared" si="29"/>
        <v>0</v>
      </c>
      <c r="L190" s="101">
        <f t="shared" si="29"/>
        <v>0</v>
      </c>
      <c r="O190" s="101">
        <f t="shared" si="30"/>
        <v>0</v>
      </c>
      <c r="P190" s="101">
        <f t="shared" si="30"/>
        <v>0</v>
      </c>
      <c r="Q190" s="101">
        <f t="shared" si="30"/>
        <v>0</v>
      </c>
      <c r="S190" s="101">
        <f t="shared" si="31"/>
        <v>0</v>
      </c>
      <c r="T190" s="101">
        <f t="shared" si="31"/>
        <v>0</v>
      </c>
    </row>
    <row r="191" spans="2:20" hidden="1" outlineLevel="2">
      <c r="B191">
        <f t="shared" si="24"/>
        <v>65</v>
      </c>
      <c r="C191" s="73" t="str">
        <v>SpareOfferB30</v>
      </c>
      <c r="G191" s="101">
        <f t="shared" si="29"/>
        <v>0</v>
      </c>
      <c r="H191" s="101">
        <f t="shared" si="29"/>
        <v>0</v>
      </c>
      <c r="I191" s="101">
        <f t="shared" si="29"/>
        <v>0</v>
      </c>
      <c r="J191" s="101">
        <f t="shared" si="29"/>
        <v>0</v>
      </c>
      <c r="K191" s="101">
        <f t="shared" si="29"/>
        <v>0</v>
      </c>
      <c r="L191" s="101">
        <f t="shared" si="29"/>
        <v>0</v>
      </c>
      <c r="O191" s="101">
        <f t="shared" si="30"/>
        <v>0</v>
      </c>
      <c r="P191" s="101">
        <f t="shared" si="30"/>
        <v>0</v>
      </c>
      <c r="Q191" s="101">
        <f t="shared" si="30"/>
        <v>0</v>
      </c>
      <c r="S191" s="101">
        <f t="shared" si="31"/>
        <v>0</v>
      </c>
      <c r="T191" s="101">
        <f t="shared" si="31"/>
        <v>0</v>
      </c>
    </row>
    <row r="192" spans="2:20" hidden="1" outlineLevel="2">
      <c r="B192">
        <f t="shared" si="24"/>
        <v>66</v>
      </c>
      <c r="C192" s="73" t="str">
        <v>SpareOfferB31</v>
      </c>
      <c r="G192" s="101">
        <f t="shared" si="29"/>
        <v>0</v>
      </c>
      <c r="H192" s="101">
        <f t="shared" si="29"/>
        <v>0</v>
      </c>
      <c r="I192" s="101">
        <f t="shared" si="29"/>
        <v>0</v>
      </c>
      <c r="J192" s="101">
        <f t="shared" si="29"/>
        <v>0</v>
      </c>
      <c r="K192" s="101">
        <f t="shared" si="29"/>
        <v>0</v>
      </c>
      <c r="L192" s="101">
        <f t="shared" si="29"/>
        <v>0</v>
      </c>
      <c r="O192" s="101">
        <f t="shared" si="30"/>
        <v>0</v>
      </c>
      <c r="P192" s="101">
        <f t="shared" si="30"/>
        <v>0</v>
      </c>
      <c r="Q192" s="101">
        <f t="shared" si="30"/>
        <v>0</v>
      </c>
      <c r="S192" s="101">
        <f t="shared" si="31"/>
        <v>0</v>
      </c>
      <c r="T192" s="101">
        <f t="shared" si="31"/>
        <v>0</v>
      </c>
    </row>
    <row r="193" spans="2:23" hidden="1" outlineLevel="2">
      <c r="B193">
        <f t="shared" si="24"/>
        <v>67</v>
      </c>
      <c r="C193" s="73" t="str">
        <v>SpareOfferB32</v>
      </c>
      <c r="G193" s="101">
        <f t="shared" si="29"/>
        <v>0</v>
      </c>
      <c r="H193" s="101">
        <f t="shared" si="29"/>
        <v>0</v>
      </c>
      <c r="I193" s="101">
        <f t="shared" si="29"/>
        <v>0</v>
      </c>
      <c r="J193" s="101">
        <f t="shared" si="29"/>
        <v>0</v>
      </c>
      <c r="K193" s="101">
        <f t="shared" si="29"/>
        <v>0</v>
      </c>
      <c r="L193" s="101">
        <f t="shared" si="29"/>
        <v>0</v>
      </c>
      <c r="O193" s="101">
        <f t="shared" si="30"/>
        <v>0</v>
      </c>
      <c r="P193" s="101">
        <f t="shared" si="30"/>
        <v>0</v>
      </c>
      <c r="Q193" s="101">
        <f t="shared" si="30"/>
        <v>0</v>
      </c>
      <c r="S193" s="101">
        <f t="shared" si="31"/>
        <v>0</v>
      </c>
      <c r="T193" s="101">
        <f t="shared" si="31"/>
        <v>0</v>
      </c>
    </row>
    <row r="194" spans="2:23" hidden="1" outlineLevel="2">
      <c r="B194">
        <f t="shared" si="24"/>
        <v>68</v>
      </c>
      <c r="C194" s="73" t="str">
        <v>SpareOfferB33</v>
      </c>
      <c r="G194" s="101">
        <f t="shared" si="29"/>
        <v>0</v>
      </c>
      <c r="H194" s="101">
        <f t="shared" si="29"/>
        <v>0</v>
      </c>
      <c r="I194" s="101">
        <f t="shared" si="29"/>
        <v>0</v>
      </c>
      <c r="J194" s="101">
        <f t="shared" si="29"/>
        <v>0</v>
      </c>
      <c r="K194" s="101">
        <f t="shared" si="29"/>
        <v>0</v>
      </c>
      <c r="L194" s="101">
        <f t="shared" si="29"/>
        <v>0</v>
      </c>
      <c r="O194" s="101">
        <f t="shared" si="30"/>
        <v>0</v>
      </c>
      <c r="P194" s="101">
        <f t="shared" si="30"/>
        <v>0</v>
      </c>
      <c r="Q194" s="101">
        <f t="shared" si="30"/>
        <v>0</v>
      </c>
      <c r="S194" s="101">
        <f t="shared" si="31"/>
        <v>0</v>
      </c>
      <c r="T194" s="101">
        <f t="shared" si="31"/>
        <v>0</v>
      </c>
    </row>
    <row r="195" spans="2:23" hidden="1" outlineLevel="2">
      <c r="B195">
        <f t="shared" si="24"/>
        <v>69</v>
      </c>
      <c r="C195" s="73" t="str">
        <v>SpareOfferB34</v>
      </c>
      <c r="G195" s="101">
        <f t="shared" si="29"/>
        <v>0</v>
      </c>
      <c r="H195" s="101">
        <f t="shared" si="29"/>
        <v>0</v>
      </c>
      <c r="I195" s="101">
        <f t="shared" si="29"/>
        <v>0</v>
      </c>
      <c r="J195" s="101">
        <f t="shared" si="29"/>
        <v>0</v>
      </c>
      <c r="K195" s="101">
        <f t="shared" si="29"/>
        <v>0</v>
      </c>
      <c r="L195" s="101">
        <f t="shared" si="29"/>
        <v>0</v>
      </c>
      <c r="O195" s="101">
        <f t="shared" si="30"/>
        <v>0</v>
      </c>
      <c r="P195" s="101">
        <f t="shared" si="30"/>
        <v>0</v>
      </c>
      <c r="Q195" s="101">
        <f t="shared" si="30"/>
        <v>0</v>
      </c>
      <c r="S195" s="101">
        <f t="shared" si="31"/>
        <v>0</v>
      </c>
      <c r="T195" s="101">
        <f t="shared" si="31"/>
        <v>0</v>
      </c>
    </row>
    <row r="196" spans="2:23" outlineLevel="1" collapsed="1">
      <c r="B196">
        <f t="shared" si="24"/>
        <v>70</v>
      </c>
      <c r="C196" s="73" t="str">
        <v>SpareOfferB35</v>
      </c>
      <c r="G196" s="101">
        <f t="shared" si="29"/>
        <v>0</v>
      </c>
      <c r="H196" s="101">
        <f t="shared" si="29"/>
        <v>0</v>
      </c>
      <c r="I196" s="101">
        <f t="shared" si="29"/>
        <v>0</v>
      </c>
      <c r="J196" s="101">
        <f t="shared" si="29"/>
        <v>0</v>
      </c>
      <c r="K196" s="101">
        <f t="shared" si="29"/>
        <v>0</v>
      </c>
      <c r="L196" s="101">
        <f t="shared" si="29"/>
        <v>0</v>
      </c>
      <c r="O196" s="101">
        <f t="shared" si="30"/>
        <v>0</v>
      </c>
      <c r="P196" s="101">
        <f t="shared" si="30"/>
        <v>0</v>
      </c>
      <c r="Q196" s="101">
        <f t="shared" si="30"/>
        <v>0</v>
      </c>
      <c r="S196" s="101">
        <f t="shared" si="31"/>
        <v>0</v>
      </c>
      <c r="T196" s="101">
        <f t="shared" si="31"/>
        <v>0</v>
      </c>
    </row>
    <row r="197" spans="2:23" ht="12" outlineLevel="1">
      <c r="G197" s="91"/>
      <c r="H197" s="91"/>
      <c r="I197" s="91"/>
      <c r="S197" s="43" t="s">
        <v>500</v>
      </c>
      <c r="T197" s="43" t="s">
        <v>501</v>
      </c>
    </row>
    <row r="198" spans="2:23" outlineLevel="1">
      <c r="C198" s="91" t="s">
        <v>224</v>
      </c>
    </row>
    <row r="199" spans="2:23" ht="34.5" outlineLevel="1">
      <c r="C199" s="1" t="s">
        <v>309</v>
      </c>
      <c r="F199" s="95" t="s">
        <v>225</v>
      </c>
      <c r="G199" s="95" t="str">
        <f t="array" ref="G199:L199">TRANSPOSE(voice.destination)</f>
        <v>On-net</v>
      </c>
      <c r="H199" s="95" t="str">
        <v>Off-net fixed</v>
      </c>
      <c r="I199" s="95" t="str">
        <v>Off-net mobile</v>
      </c>
      <c r="J199" s="95" t="str">
        <v>International</v>
      </c>
      <c r="K199" s="1" t="str">
        <v>VAS</v>
      </c>
      <c r="L199" s="1" t="str">
        <v>Not used</v>
      </c>
      <c r="N199" s="109" t="s">
        <v>226</v>
      </c>
      <c r="O199" s="95" t="s">
        <v>156</v>
      </c>
      <c r="P199" s="95" t="s">
        <v>157</v>
      </c>
      <c r="Q199" s="95" t="s">
        <v>158</v>
      </c>
      <c r="R199" s="95" t="s">
        <v>159</v>
      </c>
      <c r="S199" s="95" t="s">
        <v>414</v>
      </c>
      <c r="T199" s="95" t="s">
        <v>415</v>
      </c>
      <c r="V199" s="109" t="s">
        <v>166</v>
      </c>
      <c r="W199" s="111"/>
    </row>
    <row r="200" spans="2:23" outlineLevel="1">
      <c r="C200" s="73" t="str">
        <f t="array" ref="C200:C234">offers.segment.2</f>
        <v>SpareOfferB1</v>
      </c>
      <c r="F200" s="136">
        <f>SUM(G200:L200)</f>
        <v>0</v>
      </c>
      <c r="G200" s="167">
        <f t="shared" ref="G200:I219" si="32">$G162*G124</f>
        <v>0</v>
      </c>
      <c r="H200" s="167">
        <f t="shared" si="32"/>
        <v>0</v>
      </c>
      <c r="I200" s="167">
        <f t="shared" si="32"/>
        <v>0</v>
      </c>
      <c r="J200" s="206">
        <f t="shared" ref="J200:J234" si="33">H162</f>
        <v>0</v>
      </c>
      <c r="K200" s="101">
        <f t="shared" ref="K200:K234" si="34">O162</f>
        <v>0</v>
      </c>
      <c r="L200" s="143"/>
      <c r="N200" s="136">
        <f>SUM(O200:T200)</f>
        <v>0</v>
      </c>
      <c r="O200" s="167">
        <f t="shared" ref="O200:Q219" si="35">$I162*O124</f>
        <v>0</v>
      </c>
      <c r="P200" s="167">
        <f t="shared" si="35"/>
        <v>0</v>
      </c>
      <c r="Q200" s="167">
        <f t="shared" si="35"/>
        <v>0</v>
      </c>
      <c r="R200" s="206">
        <f t="shared" ref="R200:R234" si="36">J162</f>
        <v>0</v>
      </c>
      <c r="S200" s="144">
        <f t="shared" ref="S200:S234" si="37">P162</f>
        <v>0</v>
      </c>
      <c r="T200" s="144">
        <f t="shared" ref="T200:T234" si="38">Q162</f>
        <v>0</v>
      </c>
      <c r="V200" s="219">
        <f t="shared" ref="V200:V234" si="39">K162*(1+data.uplift.sensitivity)</f>
        <v>0</v>
      </c>
    </row>
    <row r="201" spans="2:23" hidden="1" outlineLevel="2">
      <c r="C201" s="73" t="str">
        <v>SpareOfferB2</v>
      </c>
      <c r="F201" s="136">
        <f t="shared" ref="F201:F234" si="40">SUM(G201:L201)</f>
        <v>0</v>
      </c>
      <c r="G201" s="167">
        <f t="shared" si="32"/>
        <v>0</v>
      </c>
      <c r="H201" s="167">
        <f t="shared" si="32"/>
        <v>0</v>
      </c>
      <c r="I201" s="167">
        <f t="shared" si="32"/>
        <v>0</v>
      </c>
      <c r="J201" s="206">
        <f t="shared" si="33"/>
        <v>0</v>
      </c>
      <c r="K201" s="101">
        <f t="shared" si="34"/>
        <v>0</v>
      </c>
      <c r="L201" s="143"/>
      <c r="N201" s="136">
        <f t="shared" ref="N201:N234" si="41">SUM(O201:T201)</f>
        <v>0</v>
      </c>
      <c r="O201" s="167">
        <f t="shared" si="35"/>
        <v>0</v>
      </c>
      <c r="P201" s="167">
        <f t="shared" si="35"/>
        <v>0</v>
      </c>
      <c r="Q201" s="167">
        <f t="shared" si="35"/>
        <v>0</v>
      </c>
      <c r="R201" s="206">
        <f t="shared" si="36"/>
        <v>0</v>
      </c>
      <c r="S201" s="144">
        <f t="shared" si="37"/>
        <v>0</v>
      </c>
      <c r="T201" s="144">
        <f t="shared" si="38"/>
        <v>0</v>
      </c>
      <c r="V201" s="219">
        <f t="shared" si="39"/>
        <v>0</v>
      </c>
    </row>
    <row r="202" spans="2:23" hidden="1" outlineLevel="2">
      <c r="C202" s="73" t="str">
        <v>SpareOfferB3</v>
      </c>
      <c r="F202" s="136">
        <f t="shared" si="40"/>
        <v>0</v>
      </c>
      <c r="G202" s="167">
        <f t="shared" si="32"/>
        <v>0</v>
      </c>
      <c r="H202" s="167">
        <f t="shared" si="32"/>
        <v>0</v>
      </c>
      <c r="I202" s="167">
        <f t="shared" si="32"/>
        <v>0</v>
      </c>
      <c r="J202" s="206">
        <f t="shared" si="33"/>
        <v>0</v>
      </c>
      <c r="K202" s="101">
        <f t="shared" si="34"/>
        <v>0</v>
      </c>
      <c r="L202" s="143"/>
      <c r="N202" s="136">
        <f t="shared" si="41"/>
        <v>0</v>
      </c>
      <c r="O202" s="167">
        <f t="shared" si="35"/>
        <v>0</v>
      </c>
      <c r="P202" s="167">
        <f t="shared" si="35"/>
        <v>0</v>
      </c>
      <c r="Q202" s="167">
        <f t="shared" si="35"/>
        <v>0</v>
      </c>
      <c r="R202" s="206">
        <f t="shared" si="36"/>
        <v>0</v>
      </c>
      <c r="S202" s="144">
        <f t="shared" si="37"/>
        <v>0</v>
      </c>
      <c r="T202" s="144">
        <f t="shared" si="38"/>
        <v>0</v>
      </c>
      <c r="V202" s="219">
        <f t="shared" si="39"/>
        <v>0</v>
      </c>
    </row>
    <row r="203" spans="2:23" hidden="1" outlineLevel="2">
      <c r="C203" s="73" t="str">
        <v>SpareOfferB4</v>
      </c>
      <c r="F203" s="136">
        <f t="shared" si="40"/>
        <v>0</v>
      </c>
      <c r="G203" s="167">
        <f t="shared" si="32"/>
        <v>0</v>
      </c>
      <c r="H203" s="167">
        <f t="shared" si="32"/>
        <v>0</v>
      </c>
      <c r="I203" s="167">
        <f t="shared" si="32"/>
        <v>0</v>
      </c>
      <c r="J203" s="206">
        <f t="shared" si="33"/>
        <v>0</v>
      </c>
      <c r="K203" s="101">
        <f t="shared" si="34"/>
        <v>0</v>
      </c>
      <c r="L203" s="143"/>
      <c r="N203" s="136">
        <f t="shared" si="41"/>
        <v>0</v>
      </c>
      <c r="O203" s="167">
        <f t="shared" si="35"/>
        <v>0</v>
      </c>
      <c r="P203" s="167">
        <f t="shared" si="35"/>
        <v>0</v>
      </c>
      <c r="Q203" s="167">
        <f t="shared" si="35"/>
        <v>0</v>
      </c>
      <c r="R203" s="206">
        <f t="shared" si="36"/>
        <v>0</v>
      </c>
      <c r="S203" s="144">
        <f t="shared" si="37"/>
        <v>0</v>
      </c>
      <c r="T203" s="144">
        <f t="shared" si="38"/>
        <v>0</v>
      </c>
      <c r="V203" s="219">
        <f t="shared" si="39"/>
        <v>0</v>
      </c>
    </row>
    <row r="204" spans="2:23" hidden="1" outlineLevel="2">
      <c r="C204" s="73" t="str">
        <v>SpareOfferB5</v>
      </c>
      <c r="F204" s="136">
        <f t="shared" si="40"/>
        <v>0</v>
      </c>
      <c r="G204" s="167">
        <f t="shared" si="32"/>
        <v>0</v>
      </c>
      <c r="H204" s="167">
        <f t="shared" si="32"/>
        <v>0</v>
      </c>
      <c r="I204" s="167">
        <f t="shared" si="32"/>
        <v>0</v>
      </c>
      <c r="J204" s="206">
        <f t="shared" si="33"/>
        <v>0</v>
      </c>
      <c r="K204" s="101">
        <f t="shared" si="34"/>
        <v>0</v>
      </c>
      <c r="L204" s="143"/>
      <c r="N204" s="136">
        <f t="shared" si="41"/>
        <v>0</v>
      </c>
      <c r="O204" s="167">
        <f t="shared" si="35"/>
        <v>0</v>
      </c>
      <c r="P204" s="167">
        <f t="shared" si="35"/>
        <v>0</v>
      </c>
      <c r="Q204" s="167">
        <f t="shared" si="35"/>
        <v>0</v>
      </c>
      <c r="R204" s="206">
        <f t="shared" si="36"/>
        <v>0</v>
      </c>
      <c r="S204" s="144">
        <f t="shared" si="37"/>
        <v>0</v>
      </c>
      <c r="T204" s="144">
        <f t="shared" si="38"/>
        <v>0</v>
      </c>
      <c r="V204" s="219">
        <f t="shared" si="39"/>
        <v>0</v>
      </c>
    </row>
    <row r="205" spans="2:23" hidden="1" outlineLevel="2">
      <c r="C205" s="73" t="str">
        <v>SpareOfferB6</v>
      </c>
      <c r="F205" s="136">
        <f t="shared" si="40"/>
        <v>0</v>
      </c>
      <c r="G205" s="167">
        <f t="shared" si="32"/>
        <v>0</v>
      </c>
      <c r="H205" s="167">
        <f t="shared" si="32"/>
        <v>0</v>
      </c>
      <c r="I205" s="167">
        <f t="shared" si="32"/>
        <v>0</v>
      </c>
      <c r="J205" s="206">
        <f t="shared" si="33"/>
        <v>0</v>
      </c>
      <c r="K205" s="101">
        <f t="shared" si="34"/>
        <v>0</v>
      </c>
      <c r="L205" s="143"/>
      <c r="N205" s="136">
        <f t="shared" si="41"/>
        <v>0</v>
      </c>
      <c r="O205" s="167">
        <f t="shared" si="35"/>
        <v>0</v>
      </c>
      <c r="P205" s="167">
        <f t="shared" si="35"/>
        <v>0</v>
      </c>
      <c r="Q205" s="167">
        <f t="shared" si="35"/>
        <v>0</v>
      </c>
      <c r="R205" s="206">
        <f t="shared" si="36"/>
        <v>0</v>
      </c>
      <c r="S205" s="144">
        <f t="shared" si="37"/>
        <v>0</v>
      </c>
      <c r="T205" s="144">
        <f t="shared" si="38"/>
        <v>0</v>
      </c>
      <c r="V205" s="219">
        <f t="shared" si="39"/>
        <v>0</v>
      </c>
    </row>
    <row r="206" spans="2:23" hidden="1" outlineLevel="2">
      <c r="C206" s="73" t="str">
        <v>SpareOfferB7</v>
      </c>
      <c r="F206" s="136">
        <f t="shared" si="40"/>
        <v>0</v>
      </c>
      <c r="G206" s="167">
        <f t="shared" si="32"/>
        <v>0</v>
      </c>
      <c r="H206" s="167">
        <f t="shared" si="32"/>
        <v>0</v>
      </c>
      <c r="I206" s="167">
        <f t="shared" si="32"/>
        <v>0</v>
      </c>
      <c r="J206" s="206">
        <f t="shared" si="33"/>
        <v>0</v>
      </c>
      <c r="K206" s="101">
        <f t="shared" si="34"/>
        <v>0</v>
      </c>
      <c r="L206" s="143"/>
      <c r="N206" s="136">
        <f t="shared" si="41"/>
        <v>0</v>
      </c>
      <c r="O206" s="167">
        <f t="shared" si="35"/>
        <v>0</v>
      </c>
      <c r="P206" s="167">
        <f t="shared" si="35"/>
        <v>0</v>
      </c>
      <c r="Q206" s="167">
        <f t="shared" si="35"/>
        <v>0</v>
      </c>
      <c r="R206" s="206">
        <f t="shared" si="36"/>
        <v>0</v>
      </c>
      <c r="S206" s="144">
        <f t="shared" si="37"/>
        <v>0</v>
      </c>
      <c r="T206" s="144">
        <f t="shared" si="38"/>
        <v>0</v>
      </c>
      <c r="V206" s="219">
        <f t="shared" si="39"/>
        <v>0</v>
      </c>
    </row>
    <row r="207" spans="2:23" hidden="1" outlineLevel="2">
      <c r="C207" s="73" t="str">
        <v>SpareOfferB8</v>
      </c>
      <c r="F207" s="136">
        <f t="shared" si="40"/>
        <v>0</v>
      </c>
      <c r="G207" s="167">
        <f t="shared" si="32"/>
        <v>0</v>
      </c>
      <c r="H207" s="167">
        <f t="shared" si="32"/>
        <v>0</v>
      </c>
      <c r="I207" s="167">
        <f t="shared" si="32"/>
        <v>0</v>
      </c>
      <c r="J207" s="206">
        <f t="shared" si="33"/>
        <v>0</v>
      </c>
      <c r="K207" s="101">
        <f t="shared" si="34"/>
        <v>0</v>
      </c>
      <c r="L207" s="143"/>
      <c r="N207" s="136">
        <f t="shared" si="41"/>
        <v>0</v>
      </c>
      <c r="O207" s="167">
        <f t="shared" si="35"/>
        <v>0</v>
      </c>
      <c r="P207" s="167">
        <f t="shared" si="35"/>
        <v>0</v>
      </c>
      <c r="Q207" s="167">
        <f t="shared" si="35"/>
        <v>0</v>
      </c>
      <c r="R207" s="206">
        <f t="shared" si="36"/>
        <v>0</v>
      </c>
      <c r="S207" s="144">
        <f t="shared" si="37"/>
        <v>0</v>
      </c>
      <c r="T207" s="144">
        <f t="shared" si="38"/>
        <v>0</v>
      </c>
      <c r="V207" s="219">
        <f t="shared" si="39"/>
        <v>0</v>
      </c>
    </row>
    <row r="208" spans="2:23" hidden="1" outlineLevel="2">
      <c r="C208" s="73" t="str">
        <v>SpareOfferB9</v>
      </c>
      <c r="F208" s="136">
        <f t="shared" si="40"/>
        <v>0</v>
      </c>
      <c r="G208" s="167">
        <f t="shared" si="32"/>
        <v>0</v>
      </c>
      <c r="H208" s="167">
        <f t="shared" si="32"/>
        <v>0</v>
      </c>
      <c r="I208" s="167">
        <f t="shared" si="32"/>
        <v>0</v>
      </c>
      <c r="J208" s="206">
        <f t="shared" si="33"/>
        <v>0</v>
      </c>
      <c r="K208" s="101">
        <f t="shared" si="34"/>
        <v>0</v>
      </c>
      <c r="L208" s="143"/>
      <c r="N208" s="136">
        <f t="shared" si="41"/>
        <v>0</v>
      </c>
      <c r="O208" s="167">
        <f t="shared" si="35"/>
        <v>0</v>
      </c>
      <c r="P208" s="167">
        <f t="shared" si="35"/>
        <v>0</v>
      </c>
      <c r="Q208" s="167">
        <f t="shared" si="35"/>
        <v>0</v>
      </c>
      <c r="R208" s="206">
        <f t="shared" si="36"/>
        <v>0</v>
      </c>
      <c r="S208" s="144">
        <f t="shared" si="37"/>
        <v>0</v>
      </c>
      <c r="T208" s="144">
        <f t="shared" si="38"/>
        <v>0</v>
      </c>
      <c r="V208" s="219">
        <f t="shared" si="39"/>
        <v>0</v>
      </c>
    </row>
    <row r="209" spans="3:22" hidden="1" outlineLevel="2">
      <c r="C209" s="73" t="str">
        <v>SpareOfferB10</v>
      </c>
      <c r="F209" s="136">
        <f t="shared" si="40"/>
        <v>0</v>
      </c>
      <c r="G209" s="167">
        <f t="shared" si="32"/>
        <v>0</v>
      </c>
      <c r="H209" s="167">
        <f t="shared" si="32"/>
        <v>0</v>
      </c>
      <c r="I209" s="167">
        <f t="shared" si="32"/>
        <v>0</v>
      </c>
      <c r="J209" s="206">
        <f t="shared" si="33"/>
        <v>0</v>
      </c>
      <c r="K209" s="101">
        <f t="shared" si="34"/>
        <v>0</v>
      </c>
      <c r="L209" s="143"/>
      <c r="N209" s="136">
        <f t="shared" si="41"/>
        <v>0</v>
      </c>
      <c r="O209" s="167">
        <f t="shared" si="35"/>
        <v>0</v>
      </c>
      <c r="P209" s="167">
        <f t="shared" si="35"/>
        <v>0</v>
      </c>
      <c r="Q209" s="167">
        <f t="shared" si="35"/>
        <v>0</v>
      </c>
      <c r="R209" s="206">
        <f t="shared" si="36"/>
        <v>0</v>
      </c>
      <c r="S209" s="144">
        <f t="shared" si="37"/>
        <v>0</v>
      </c>
      <c r="T209" s="144">
        <f t="shared" si="38"/>
        <v>0</v>
      </c>
      <c r="V209" s="219">
        <f t="shared" si="39"/>
        <v>0</v>
      </c>
    </row>
    <row r="210" spans="3:22" hidden="1" outlineLevel="2">
      <c r="C210" s="73" t="str">
        <v>SpareOfferB11</v>
      </c>
      <c r="F210" s="136">
        <f t="shared" si="40"/>
        <v>0</v>
      </c>
      <c r="G210" s="167">
        <f t="shared" si="32"/>
        <v>0</v>
      </c>
      <c r="H210" s="167">
        <f t="shared" si="32"/>
        <v>0</v>
      </c>
      <c r="I210" s="167">
        <f t="shared" si="32"/>
        <v>0</v>
      </c>
      <c r="J210" s="206">
        <f t="shared" si="33"/>
        <v>0</v>
      </c>
      <c r="K210" s="101">
        <f t="shared" si="34"/>
        <v>0</v>
      </c>
      <c r="L210" s="143"/>
      <c r="N210" s="136">
        <f t="shared" si="41"/>
        <v>0</v>
      </c>
      <c r="O210" s="167">
        <f t="shared" si="35"/>
        <v>0</v>
      </c>
      <c r="P210" s="167">
        <f t="shared" si="35"/>
        <v>0</v>
      </c>
      <c r="Q210" s="167">
        <f t="shared" si="35"/>
        <v>0</v>
      </c>
      <c r="R210" s="206">
        <f t="shared" si="36"/>
        <v>0</v>
      </c>
      <c r="S210" s="144">
        <f t="shared" si="37"/>
        <v>0</v>
      </c>
      <c r="T210" s="144">
        <f t="shared" si="38"/>
        <v>0</v>
      </c>
      <c r="V210" s="219">
        <f t="shared" si="39"/>
        <v>0</v>
      </c>
    </row>
    <row r="211" spans="3:22" hidden="1" outlineLevel="2">
      <c r="C211" s="73" t="str">
        <v>SpareOfferB12</v>
      </c>
      <c r="F211" s="136">
        <f t="shared" si="40"/>
        <v>0</v>
      </c>
      <c r="G211" s="167">
        <f t="shared" si="32"/>
        <v>0</v>
      </c>
      <c r="H211" s="167">
        <f t="shared" si="32"/>
        <v>0</v>
      </c>
      <c r="I211" s="167">
        <f t="shared" si="32"/>
        <v>0</v>
      </c>
      <c r="J211" s="206">
        <f t="shared" si="33"/>
        <v>0</v>
      </c>
      <c r="K211" s="101">
        <f t="shared" si="34"/>
        <v>0</v>
      </c>
      <c r="L211" s="143"/>
      <c r="N211" s="136">
        <f t="shared" si="41"/>
        <v>0</v>
      </c>
      <c r="O211" s="167">
        <f t="shared" si="35"/>
        <v>0</v>
      </c>
      <c r="P211" s="167">
        <f t="shared" si="35"/>
        <v>0</v>
      </c>
      <c r="Q211" s="167">
        <f t="shared" si="35"/>
        <v>0</v>
      </c>
      <c r="R211" s="206">
        <f t="shared" si="36"/>
        <v>0</v>
      </c>
      <c r="S211" s="144">
        <f t="shared" si="37"/>
        <v>0</v>
      </c>
      <c r="T211" s="144">
        <f t="shared" si="38"/>
        <v>0</v>
      </c>
      <c r="V211" s="219">
        <f t="shared" si="39"/>
        <v>0</v>
      </c>
    </row>
    <row r="212" spans="3:22" hidden="1" outlineLevel="2">
      <c r="C212" s="73" t="str">
        <v>SpareOfferB13</v>
      </c>
      <c r="F212" s="136">
        <f t="shared" si="40"/>
        <v>0</v>
      </c>
      <c r="G212" s="167">
        <f t="shared" si="32"/>
        <v>0</v>
      </c>
      <c r="H212" s="167">
        <f t="shared" si="32"/>
        <v>0</v>
      </c>
      <c r="I212" s="167">
        <f t="shared" si="32"/>
        <v>0</v>
      </c>
      <c r="J212" s="206">
        <f t="shared" si="33"/>
        <v>0</v>
      </c>
      <c r="K212" s="101">
        <f t="shared" si="34"/>
        <v>0</v>
      </c>
      <c r="L212" s="143"/>
      <c r="N212" s="136">
        <f t="shared" si="41"/>
        <v>0</v>
      </c>
      <c r="O212" s="167">
        <f t="shared" si="35"/>
        <v>0</v>
      </c>
      <c r="P212" s="167">
        <f t="shared" si="35"/>
        <v>0</v>
      </c>
      <c r="Q212" s="167">
        <f t="shared" si="35"/>
        <v>0</v>
      </c>
      <c r="R212" s="206">
        <f t="shared" si="36"/>
        <v>0</v>
      </c>
      <c r="S212" s="144">
        <f t="shared" si="37"/>
        <v>0</v>
      </c>
      <c r="T212" s="144">
        <f t="shared" si="38"/>
        <v>0</v>
      </c>
      <c r="V212" s="219">
        <f t="shared" si="39"/>
        <v>0</v>
      </c>
    </row>
    <row r="213" spans="3:22" hidden="1" outlineLevel="2">
      <c r="C213" s="73" t="str">
        <v>SpareOfferB14</v>
      </c>
      <c r="F213" s="136">
        <f t="shared" si="40"/>
        <v>0</v>
      </c>
      <c r="G213" s="167">
        <f t="shared" si="32"/>
        <v>0</v>
      </c>
      <c r="H213" s="167">
        <f t="shared" si="32"/>
        <v>0</v>
      </c>
      <c r="I213" s="167">
        <f t="shared" si="32"/>
        <v>0</v>
      </c>
      <c r="J213" s="206">
        <f t="shared" si="33"/>
        <v>0</v>
      </c>
      <c r="K213" s="101">
        <f t="shared" si="34"/>
        <v>0</v>
      </c>
      <c r="L213" s="143"/>
      <c r="N213" s="136">
        <f t="shared" si="41"/>
        <v>0</v>
      </c>
      <c r="O213" s="167">
        <f t="shared" si="35"/>
        <v>0</v>
      </c>
      <c r="P213" s="167">
        <f t="shared" si="35"/>
        <v>0</v>
      </c>
      <c r="Q213" s="167">
        <f t="shared" si="35"/>
        <v>0</v>
      </c>
      <c r="R213" s="206">
        <f t="shared" si="36"/>
        <v>0</v>
      </c>
      <c r="S213" s="144">
        <f t="shared" si="37"/>
        <v>0</v>
      </c>
      <c r="T213" s="144">
        <f t="shared" si="38"/>
        <v>0</v>
      </c>
      <c r="V213" s="219">
        <f t="shared" si="39"/>
        <v>0</v>
      </c>
    </row>
    <row r="214" spans="3:22" hidden="1" outlineLevel="2">
      <c r="C214" s="73" t="str">
        <v>SpareOfferB15</v>
      </c>
      <c r="F214" s="136">
        <f t="shared" si="40"/>
        <v>0</v>
      </c>
      <c r="G214" s="167">
        <f t="shared" si="32"/>
        <v>0</v>
      </c>
      <c r="H214" s="167">
        <f t="shared" si="32"/>
        <v>0</v>
      </c>
      <c r="I214" s="167">
        <f t="shared" si="32"/>
        <v>0</v>
      </c>
      <c r="J214" s="206">
        <f t="shared" si="33"/>
        <v>0</v>
      </c>
      <c r="K214" s="101">
        <f t="shared" si="34"/>
        <v>0</v>
      </c>
      <c r="L214" s="143"/>
      <c r="N214" s="136">
        <f t="shared" si="41"/>
        <v>0</v>
      </c>
      <c r="O214" s="167">
        <f t="shared" si="35"/>
        <v>0</v>
      </c>
      <c r="P214" s="167">
        <f t="shared" si="35"/>
        <v>0</v>
      </c>
      <c r="Q214" s="167">
        <f t="shared" si="35"/>
        <v>0</v>
      </c>
      <c r="R214" s="206">
        <f t="shared" si="36"/>
        <v>0</v>
      </c>
      <c r="S214" s="144">
        <f t="shared" si="37"/>
        <v>0</v>
      </c>
      <c r="T214" s="144">
        <f t="shared" si="38"/>
        <v>0</v>
      </c>
      <c r="V214" s="219">
        <f t="shared" si="39"/>
        <v>0</v>
      </c>
    </row>
    <row r="215" spans="3:22" hidden="1" outlineLevel="2">
      <c r="C215" s="73" t="str">
        <v>SpareOfferB16</v>
      </c>
      <c r="F215" s="136">
        <f t="shared" si="40"/>
        <v>0</v>
      </c>
      <c r="G215" s="167">
        <f t="shared" si="32"/>
        <v>0</v>
      </c>
      <c r="H215" s="167">
        <f t="shared" si="32"/>
        <v>0</v>
      </c>
      <c r="I215" s="167">
        <f t="shared" si="32"/>
        <v>0</v>
      </c>
      <c r="J215" s="206">
        <f t="shared" si="33"/>
        <v>0</v>
      </c>
      <c r="K215" s="101">
        <f t="shared" si="34"/>
        <v>0</v>
      </c>
      <c r="L215" s="143"/>
      <c r="N215" s="136">
        <f t="shared" si="41"/>
        <v>0</v>
      </c>
      <c r="O215" s="167">
        <f t="shared" si="35"/>
        <v>0</v>
      </c>
      <c r="P215" s="167">
        <f t="shared" si="35"/>
        <v>0</v>
      </c>
      <c r="Q215" s="167">
        <f t="shared" si="35"/>
        <v>0</v>
      </c>
      <c r="R215" s="206">
        <f t="shared" si="36"/>
        <v>0</v>
      </c>
      <c r="S215" s="144">
        <f t="shared" si="37"/>
        <v>0</v>
      </c>
      <c r="T215" s="144">
        <f t="shared" si="38"/>
        <v>0</v>
      </c>
      <c r="V215" s="219">
        <f t="shared" si="39"/>
        <v>0</v>
      </c>
    </row>
    <row r="216" spans="3:22" hidden="1" outlineLevel="2">
      <c r="C216" s="73" t="str">
        <v>SpareOfferB17</v>
      </c>
      <c r="F216" s="136">
        <f t="shared" si="40"/>
        <v>0</v>
      </c>
      <c r="G216" s="167">
        <f t="shared" si="32"/>
        <v>0</v>
      </c>
      <c r="H216" s="167">
        <f t="shared" si="32"/>
        <v>0</v>
      </c>
      <c r="I216" s="167">
        <f t="shared" si="32"/>
        <v>0</v>
      </c>
      <c r="J216" s="206">
        <f t="shared" si="33"/>
        <v>0</v>
      </c>
      <c r="K216" s="101">
        <f t="shared" si="34"/>
        <v>0</v>
      </c>
      <c r="L216" s="143"/>
      <c r="N216" s="136">
        <f t="shared" si="41"/>
        <v>0</v>
      </c>
      <c r="O216" s="167">
        <f t="shared" si="35"/>
        <v>0</v>
      </c>
      <c r="P216" s="167">
        <f t="shared" si="35"/>
        <v>0</v>
      </c>
      <c r="Q216" s="167">
        <f t="shared" si="35"/>
        <v>0</v>
      </c>
      <c r="R216" s="206">
        <f t="shared" si="36"/>
        <v>0</v>
      </c>
      <c r="S216" s="144">
        <f t="shared" si="37"/>
        <v>0</v>
      </c>
      <c r="T216" s="144">
        <f t="shared" si="38"/>
        <v>0</v>
      </c>
      <c r="V216" s="219">
        <f t="shared" si="39"/>
        <v>0</v>
      </c>
    </row>
    <row r="217" spans="3:22" hidden="1" outlineLevel="2">
      <c r="C217" s="73" t="str">
        <v>SpareOfferB18</v>
      </c>
      <c r="F217" s="136">
        <f t="shared" si="40"/>
        <v>0</v>
      </c>
      <c r="G217" s="167">
        <f t="shared" si="32"/>
        <v>0</v>
      </c>
      <c r="H217" s="167">
        <f t="shared" si="32"/>
        <v>0</v>
      </c>
      <c r="I217" s="167">
        <f t="shared" si="32"/>
        <v>0</v>
      </c>
      <c r="J217" s="206">
        <f t="shared" si="33"/>
        <v>0</v>
      </c>
      <c r="K217" s="101">
        <f t="shared" si="34"/>
        <v>0</v>
      </c>
      <c r="L217" s="143"/>
      <c r="N217" s="136">
        <f t="shared" si="41"/>
        <v>0</v>
      </c>
      <c r="O217" s="167">
        <f t="shared" si="35"/>
        <v>0</v>
      </c>
      <c r="P217" s="167">
        <f t="shared" si="35"/>
        <v>0</v>
      </c>
      <c r="Q217" s="167">
        <f t="shared" si="35"/>
        <v>0</v>
      </c>
      <c r="R217" s="206">
        <f t="shared" si="36"/>
        <v>0</v>
      </c>
      <c r="S217" s="144">
        <f t="shared" si="37"/>
        <v>0</v>
      </c>
      <c r="T217" s="144">
        <f t="shared" si="38"/>
        <v>0</v>
      </c>
      <c r="V217" s="219">
        <f t="shared" si="39"/>
        <v>0</v>
      </c>
    </row>
    <row r="218" spans="3:22" hidden="1" outlineLevel="2">
      <c r="C218" s="73" t="str">
        <v>SpareOfferB19</v>
      </c>
      <c r="F218" s="136">
        <f t="shared" si="40"/>
        <v>0</v>
      </c>
      <c r="G218" s="167">
        <f t="shared" si="32"/>
        <v>0</v>
      </c>
      <c r="H218" s="167">
        <f t="shared" si="32"/>
        <v>0</v>
      </c>
      <c r="I218" s="167">
        <f t="shared" si="32"/>
        <v>0</v>
      </c>
      <c r="J218" s="206">
        <f t="shared" si="33"/>
        <v>0</v>
      </c>
      <c r="K218" s="101">
        <f t="shared" si="34"/>
        <v>0</v>
      </c>
      <c r="L218" s="143"/>
      <c r="N218" s="136">
        <f t="shared" si="41"/>
        <v>0</v>
      </c>
      <c r="O218" s="167">
        <f t="shared" si="35"/>
        <v>0</v>
      </c>
      <c r="P218" s="167">
        <f t="shared" si="35"/>
        <v>0</v>
      </c>
      <c r="Q218" s="167">
        <f t="shared" si="35"/>
        <v>0</v>
      </c>
      <c r="R218" s="206">
        <f t="shared" si="36"/>
        <v>0</v>
      </c>
      <c r="S218" s="144">
        <f t="shared" si="37"/>
        <v>0</v>
      </c>
      <c r="T218" s="144">
        <f t="shared" si="38"/>
        <v>0</v>
      </c>
      <c r="V218" s="219">
        <f t="shared" si="39"/>
        <v>0</v>
      </c>
    </row>
    <row r="219" spans="3:22" hidden="1" outlineLevel="2">
      <c r="C219" s="73" t="str">
        <v>SpareOfferB20</v>
      </c>
      <c r="F219" s="136">
        <f t="shared" si="40"/>
        <v>0</v>
      </c>
      <c r="G219" s="167">
        <f t="shared" si="32"/>
        <v>0</v>
      </c>
      <c r="H219" s="167">
        <f t="shared" si="32"/>
        <v>0</v>
      </c>
      <c r="I219" s="167">
        <f t="shared" si="32"/>
        <v>0</v>
      </c>
      <c r="J219" s="206">
        <f t="shared" si="33"/>
        <v>0</v>
      </c>
      <c r="K219" s="101">
        <f t="shared" si="34"/>
        <v>0</v>
      </c>
      <c r="L219" s="143"/>
      <c r="N219" s="136">
        <f t="shared" si="41"/>
        <v>0</v>
      </c>
      <c r="O219" s="167">
        <f t="shared" si="35"/>
        <v>0</v>
      </c>
      <c r="P219" s="167">
        <f t="shared" si="35"/>
        <v>0</v>
      </c>
      <c r="Q219" s="167">
        <f t="shared" si="35"/>
        <v>0</v>
      </c>
      <c r="R219" s="206">
        <f t="shared" si="36"/>
        <v>0</v>
      </c>
      <c r="S219" s="144">
        <f t="shared" si="37"/>
        <v>0</v>
      </c>
      <c r="T219" s="144">
        <f t="shared" si="38"/>
        <v>0</v>
      </c>
      <c r="V219" s="219">
        <f t="shared" si="39"/>
        <v>0</v>
      </c>
    </row>
    <row r="220" spans="3:22" hidden="1" outlineLevel="2">
      <c r="C220" s="73" t="str">
        <v>SpareOfferB21</v>
      </c>
      <c r="F220" s="136">
        <f t="shared" si="40"/>
        <v>0</v>
      </c>
      <c r="G220" s="167">
        <f t="shared" ref="G220:I234" si="42">$G182*G144</f>
        <v>0</v>
      </c>
      <c r="H220" s="167">
        <f t="shared" si="42"/>
        <v>0</v>
      </c>
      <c r="I220" s="167">
        <f t="shared" si="42"/>
        <v>0</v>
      </c>
      <c r="J220" s="206">
        <f t="shared" si="33"/>
        <v>0</v>
      </c>
      <c r="K220" s="101">
        <f t="shared" si="34"/>
        <v>0</v>
      </c>
      <c r="L220" s="143"/>
      <c r="N220" s="136">
        <f t="shared" si="41"/>
        <v>0</v>
      </c>
      <c r="O220" s="167">
        <f t="shared" ref="O220:Q234" si="43">$I182*O144</f>
        <v>0</v>
      </c>
      <c r="P220" s="167">
        <f t="shared" si="43"/>
        <v>0</v>
      </c>
      <c r="Q220" s="167">
        <f t="shared" si="43"/>
        <v>0</v>
      </c>
      <c r="R220" s="206">
        <f t="shared" si="36"/>
        <v>0</v>
      </c>
      <c r="S220" s="144">
        <f t="shared" si="37"/>
        <v>0</v>
      </c>
      <c r="T220" s="144">
        <f t="shared" si="38"/>
        <v>0</v>
      </c>
      <c r="V220" s="219">
        <f t="shared" si="39"/>
        <v>0</v>
      </c>
    </row>
    <row r="221" spans="3:22" hidden="1" outlineLevel="2">
      <c r="C221" s="73" t="str">
        <v>SpareOfferB22</v>
      </c>
      <c r="F221" s="136">
        <f t="shared" si="40"/>
        <v>0</v>
      </c>
      <c r="G221" s="167">
        <f t="shared" si="42"/>
        <v>0</v>
      </c>
      <c r="H221" s="167">
        <f t="shared" si="42"/>
        <v>0</v>
      </c>
      <c r="I221" s="167">
        <f t="shared" si="42"/>
        <v>0</v>
      </c>
      <c r="J221" s="206">
        <f t="shared" si="33"/>
        <v>0</v>
      </c>
      <c r="K221" s="101">
        <f t="shared" si="34"/>
        <v>0</v>
      </c>
      <c r="L221" s="143"/>
      <c r="N221" s="136">
        <f t="shared" si="41"/>
        <v>0</v>
      </c>
      <c r="O221" s="167">
        <f t="shared" si="43"/>
        <v>0</v>
      </c>
      <c r="P221" s="167">
        <f t="shared" si="43"/>
        <v>0</v>
      </c>
      <c r="Q221" s="167">
        <f t="shared" si="43"/>
        <v>0</v>
      </c>
      <c r="R221" s="206">
        <f t="shared" si="36"/>
        <v>0</v>
      </c>
      <c r="S221" s="144">
        <f t="shared" si="37"/>
        <v>0</v>
      </c>
      <c r="T221" s="144">
        <f t="shared" si="38"/>
        <v>0</v>
      </c>
      <c r="V221" s="219">
        <f t="shared" si="39"/>
        <v>0</v>
      </c>
    </row>
    <row r="222" spans="3:22" hidden="1" outlineLevel="2">
      <c r="C222" s="73" t="str">
        <v>SpareOfferB23</v>
      </c>
      <c r="F222" s="136">
        <f t="shared" si="40"/>
        <v>0</v>
      </c>
      <c r="G222" s="167">
        <f t="shared" si="42"/>
        <v>0</v>
      </c>
      <c r="H222" s="167">
        <f t="shared" si="42"/>
        <v>0</v>
      </c>
      <c r="I222" s="167">
        <f t="shared" si="42"/>
        <v>0</v>
      </c>
      <c r="J222" s="206">
        <f t="shared" si="33"/>
        <v>0</v>
      </c>
      <c r="K222" s="101">
        <f t="shared" si="34"/>
        <v>0</v>
      </c>
      <c r="L222" s="143"/>
      <c r="N222" s="136">
        <f t="shared" si="41"/>
        <v>0</v>
      </c>
      <c r="O222" s="167">
        <f t="shared" si="43"/>
        <v>0</v>
      </c>
      <c r="P222" s="167">
        <f t="shared" si="43"/>
        <v>0</v>
      </c>
      <c r="Q222" s="167">
        <f t="shared" si="43"/>
        <v>0</v>
      </c>
      <c r="R222" s="206">
        <f t="shared" si="36"/>
        <v>0</v>
      </c>
      <c r="S222" s="144">
        <f t="shared" si="37"/>
        <v>0</v>
      </c>
      <c r="T222" s="144">
        <f t="shared" si="38"/>
        <v>0</v>
      </c>
      <c r="V222" s="219">
        <f t="shared" si="39"/>
        <v>0</v>
      </c>
    </row>
    <row r="223" spans="3:22" hidden="1" outlineLevel="2">
      <c r="C223" s="73" t="str">
        <v>SpareOfferB24</v>
      </c>
      <c r="F223" s="136">
        <f t="shared" si="40"/>
        <v>0</v>
      </c>
      <c r="G223" s="167">
        <f t="shared" si="42"/>
        <v>0</v>
      </c>
      <c r="H223" s="167">
        <f t="shared" si="42"/>
        <v>0</v>
      </c>
      <c r="I223" s="167">
        <f t="shared" si="42"/>
        <v>0</v>
      </c>
      <c r="J223" s="206">
        <f t="shared" si="33"/>
        <v>0</v>
      </c>
      <c r="K223" s="101">
        <f t="shared" si="34"/>
        <v>0</v>
      </c>
      <c r="L223" s="143"/>
      <c r="N223" s="136">
        <f t="shared" si="41"/>
        <v>0</v>
      </c>
      <c r="O223" s="167">
        <f t="shared" si="43"/>
        <v>0</v>
      </c>
      <c r="P223" s="167">
        <f t="shared" si="43"/>
        <v>0</v>
      </c>
      <c r="Q223" s="167">
        <f t="shared" si="43"/>
        <v>0</v>
      </c>
      <c r="R223" s="206">
        <f t="shared" si="36"/>
        <v>0</v>
      </c>
      <c r="S223" s="144">
        <f t="shared" si="37"/>
        <v>0</v>
      </c>
      <c r="T223" s="144">
        <f t="shared" si="38"/>
        <v>0</v>
      </c>
      <c r="V223" s="219">
        <f t="shared" si="39"/>
        <v>0</v>
      </c>
    </row>
    <row r="224" spans="3:22" hidden="1" outlineLevel="2">
      <c r="C224" s="73" t="str">
        <v>SpareOfferB25</v>
      </c>
      <c r="F224" s="136">
        <f t="shared" si="40"/>
        <v>0</v>
      </c>
      <c r="G224" s="167">
        <f t="shared" si="42"/>
        <v>0</v>
      </c>
      <c r="H224" s="167">
        <f t="shared" si="42"/>
        <v>0</v>
      </c>
      <c r="I224" s="167">
        <f t="shared" si="42"/>
        <v>0</v>
      </c>
      <c r="J224" s="206">
        <f t="shared" si="33"/>
        <v>0</v>
      </c>
      <c r="K224" s="101">
        <f t="shared" si="34"/>
        <v>0</v>
      </c>
      <c r="L224" s="143"/>
      <c r="N224" s="136">
        <f t="shared" si="41"/>
        <v>0</v>
      </c>
      <c r="O224" s="167">
        <f t="shared" si="43"/>
        <v>0</v>
      </c>
      <c r="P224" s="167">
        <f t="shared" si="43"/>
        <v>0</v>
      </c>
      <c r="Q224" s="167">
        <f t="shared" si="43"/>
        <v>0</v>
      </c>
      <c r="R224" s="206">
        <f t="shared" si="36"/>
        <v>0</v>
      </c>
      <c r="S224" s="144">
        <f t="shared" si="37"/>
        <v>0</v>
      </c>
      <c r="T224" s="144">
        <f t="shared" si="38"/>
        <v>0</v>
      </c>
      <c r="V224" s="219">
        <f t="shared" si="39"/>
        <v>0</v>
      </c>
    </row>
    <row r="225" spans="1:22" hidden="1" outlineLevel="2">
      <c r="C225" s="73" t="str">
        <v>SpareOfferB26</v>
      </c>
      <c r="F225" s="136">
        <f t="shared" si="40"/>
        <v>0</v>
      </c>
      <c r="G225" s="167">
        <f t="shared" si="42"/>
        <v>0</v>
      </c>
      <c r="H225" s="167">
        <f t="shared" si="42"/>
        <v>0</v>
      </c>
      <c r="I225" s="167">
        <f t="shared" si="42"/>
        <v>0</v>
      </c>
      <c r="J225" s="206">
        <f t="shared" si="33"/>
        <v>0</v>
      </c>
      <c r="K225" s="101">
        <f t="shared" si="34"/>
        <v>0</v>
      </c>
      <c r="L225" s="143"/>
      <c r="N225" s="136">
        <f t="shared" si="41"/>
        <v>0</v>
      </c>
      <c r="O225" s="167">
        <f t="shared" si="43"/>
        <v>0</v>
      </c>
      <c r="P225" s="167">
        <f t="shared" si="43"/>
        <v>0</v>
      </c>
      <c r="Q225" s="167">
        <f t="shared" si="43"/>
        <v>0</v>
      </c>
      <c r="R225" s="206">
        <f t="shared" si="36"/>
        <v>0</v>
      </c>
      <c r="S225" s="144">
        <f t="shared" si="37"/>
        <v>0</v>
      </c>
      <c r="T225" s="144">
        <f t="shared" si="38"/>
        <v>0</v>
      </c>
      <c r="V225" s="219">
        <f t="shared" si="39"/>
        <v>0</v>
      </c>
    </row>
    <row r="226" spans="1:22" hidden="1" outlineLevel="2">
      <c r="C226" s="73" t="str">
        <v>SpareOfferB27</v>
      </c>
      <c r="F226" s="136">
        <f t="shared" si="40"/>
        <v>0</v>
      </c>
      <c r="G226" s="167">
        <f t="shared" si="42"/>
        <v>0</v>
      </c>
      <c r="H226" s="167">
        <f t="shared" si="42"/>
        <v>0</v>
      </c>
      <c r="I226" s="167">
        <f t="shared" si="42"/>
        <v>0</v>
      </c>
      <c r="J226" s="206">
        <f t="shared" si="33"/>
        <v>0</v>
      </c>
      <c r="K226" s="101">
        <f t="shared" si="34"/>
        <v>0</v>
      </c>
      <c r="L226" s="143"/>
      <c r="N226" s="136">
        <f t="shared" si="41"/>
        <v>0</v>
      </c>
      <c r="O226" s="167">
        <f t="shared" si="43"/>
        <v>0</v>
      </c>
      <c r="P226" s="167">
        <f t="shared" si="43"/>
        <v>0</v>
      </c>
      <c r="Q226" s="167">
        <f t="shared" si="43"/>
        <v>0</v>
      </c>
      <c r="R226" s="206">
        <f t="shared" si="36"/>
        <v>0</v>
      </c>
      <c r="S226" s="144">
        <f t="shared" si="37"/>
        <v>0</v>
      </c>
      <c r="T226" s="144">
        <f t="shared" si="38"/>
        <v>0</v>
      </c>
      <c r="V226" s="219">
        <f t="shared" si="39"/>
        <v>0</v>
      </c>
    </row>
    <row r="227" spans="1:22" hidden="1" outlineLevel="2">
      <c r="C227" s="73" t="str">
        <v>SpareOfferB28</v>
      </c>
      <c r="F227" s="136">
        <f t="shared" si="40"/>
        <v>0</v>
      </c>
      <c r="G227" s="167">
        <f t="shared" si="42"/>
        <v>0</v>
      </c>
      <c r="H227" s="167">
        <f t="shared" si="42"/>
        <v>0</v>
      </c>
      <c r="I227" s="167">
        <f t="shared" si="42"/>
        <v>0</v>
      </c>
      <c r="J227" s="206">
        <f t="shared" si="33"/>
        <v>0</v>
      </c>
      <c r="K227" s="101">
        <f t="shared" si="34"/>
        <v>0</v>
      </c>
      <c r="L227" s="143"/>
      <c r="N227" s="136">
        <f t="shared" si="41"/>
        <v>0</v>
      </c>
      <c r="O227" s="167">
        <f t="shared" si="43"/>
        <v>0</v>
      </c>
      <c r="P227" s="167">
        <f t="shared" si="43"/>
        <v>0</v>
      </c>
      <c r="Q227" s="167">
        <f t="shared" si="43"/>
        <v>0</v>
      </c>
      <c r="R227" s="206">
        <f t="shared" si="36"/>
        <v>0</v>
      </c>
      <c r="S227" s="144">
        <f t="shared" si="37"/>
        <v>0</v>
      </c>
      <c r="T227" s="144">
        <f t="shared" si="38"/>
        <v>0</v>
      </c>
      <c r="V227" s="219">
        <f t="shared" si="39"/>
        <v>0</v>
      </c>
    </row>
    <row r="228" spans="1:22" hidden="1" outlineLevel="2">
      <c r="C228" s="73" t="str">
        <v>SpareOfferB29</v>
      </c>
      <c r="F228" s="136">
        <f t="shared" si="40"/>
        <v>0</v>
      </c>
      <c r="G228" s="167">
        <f t="shared" si="42"/>
        <v>0</v>
      </c>
      <c r="H228" s="167">
        <f t="shared" si="42"/>
        <v>0</v>
      </c>
      <c r="I228" s="167">
        <f t="shared" si="42"/>
        <v>0</v>
      </c>
      <c r="J228" s="206">
        <f t="shared" si="33"/>
        <v>0</v>
      </c>
      <c r="K228" s="101">
        <f t="shared" si="34"/>
        <v>0</v>
      </c>
      <c r="L228" s="143"/>
      <c r="N228" s="136">
        <f t="shared" si="41"/>
        <v>0</v>
      </c>
      <c r="O228" s="167">
        <f t="shared" si="43"/>
        <v>0</v>
      </c>
      <c r="P228" s="167">
        <f t="shared" si="43"/>
        <v>0</v>
      </c>
      <c r="Q228" s="167">
        <f t="shared" si="43"/>
        <v>0</v>
      </c>
      <c r="R228" s="206">
        <f t="shared" si="36"/>
        <v>0</v>
      </c>
      <c r="S228" s="144">
        <f t="shared" si="37"/>
        <v>0</v>
      </c>
      <c r="T228" s="144">
        <f t="shared" si="38"/>
        <v>0</v>
      </c>
      <c r="V228" s="219">
        <f t="shared" si="39"/>
        <v>0</v>
      </c>
    </row>
    <row r="229" spans="1:22" hidden="1" outlineLevel="2">
      <c r="C229" s="73" t="str">
        <v>SpareOfferB30</v>
      </c>
      <c r="F229" s="136">
        <f t="shared" si="40"/>
        <v>0</v>
      </c>
      <c r="G229" s="167">
        <f t="shared" si="42"/>
        <v>0</v>
      </c>
      <c r="H229" s="167">
        <f t="shared" si="42"/>
        <v>0</v>
      </c>
      <c r="I229" s="167">
        <f t="shared" si="42"/>
        <v>0</v>
      </c>
      <c r="J229" s="206">
        <f t="shared" si="33"/>
        <v>0</v>
      </c>
      <c r="K229" s="101">
        <f t="shared" si="34"/>
        <v>0</v>
      </c>
      <c r="L229" s="143"/>
      <c r="N229" s="136">
        <f t="shared" si="41"/>
        <v>0</v>
      </c>
      <c r="O229" s="167">
        <f t="shared" si="43"/>
        <v>0</v>
      </c>
      <c r="P229" s="167">
        <f t="shared" si="43"/>
        <v>0</v>
      </c>
      <c r="Q229" s="167">
        <f t="shared" si="43"/>
        <v>0</v>
      </c>
      <c r="R229" s="206">
        <f t="shared" si="36"/>
        <v>0</v>
      </c>
      <c r="S229" s="144">
        <f t="shared" si="37"/>
        <v>0</v>
      </c>
      <c r="T229" s="144">
        <f t="shared" si="38"/>
        <v>0</v>
      </c>
      <c r="V229" s="219">
        <f t="shared" si="39"/>
        <v>0</v>
      </c>
    </row>
    <row r="230" spans="1:22" hidden="1" outlineLevel="2">
      <c r="C230" s="73" t="str">
        <v>SpareOfferB31</v>
      </c>
      <c r="F230" s="136">
        <f t="shared" si="40"/>
        <v>0</v>
      </c>
      <c r="G230" s="167">
        <f t="shared" si="42"/>
        <v>0</v>
      </c>
      <c r="H230" s="167">
        <f t="shared" si="42"/>
        <v>0</v>
      </c>
      <c r="I230" s="167">
        <f t="shared" si="42"/>
        <v>0</v>
      </c>
      <c r="J230" s="206">
        <f t="shared" si="33"/>
        <v>0</v>
      </c>
      <c r="K230" s="101">
        <f t="shared" si="34"/>
        <v>0</v>
      </c>
      <c r="L230" s="143"/>
      <c r="N230" s="136">
        <f t="shared" si="41"/>
        <v>0</v>
      </c>
      <c r="O230" s="167">
        <f t="shared" si="43"/>
        <v>0</v>
      </c>
      <c r="P230" s="167">
        <f t="shared" si="43"/>
        <v>0</v>
      </c>
      <c r="Q230" s="167">
        <f t="shared" si="43"/>
        <v>0</v>
      </c>
      <c r="R230" s="206">
        <f t="shared" si="36"/>
        <v>0</v>
      </c>
      <c r="S230" s="144">
        <f t="shared" si="37"/>
        <v>0</v>
      </c>
      <c r="T230" s="144">
        <f t="shared" si="38"/>
        <v>0</v>
      </c>
      <c r="V230" s="219">
        <f t="shared" si="39"/>
        <v>0</v>
      </c>
    </row>
    <row r="231" spans="1:22" hidden="1" outlineLevel="2">
      <c r="C231" s="73" t="str">
        <v>SpareOfferB32</v>
      </c>
      <c r="F231" s="136">
        <f t="shared" si="40"/>
        <v>0</v>
      </c>
      <c r="G231" s="167">
        <f t="shared" si="42"/>
        <v>0</v>
      </c>
      <c r="H231" s="167">
        <f t="shared" si="42"/>
        <v>0</v>
      </c>
      <c r="I231" s="167">
        <f t="shared" si="42"/>
        <v>0</v>
      </c>
      <c r="J231" s="206">
        <f t="shared" si="33"/>
        <v>0</v>
      </c>
      <c r="K231" s="101">
        <f t="shared" si="34"/>
        <v>0</v>
      </c>
      <c r="L231" s="143"/>
      <c r="N231" s="136">
        <f t="shared" si="41"/>
        <v>0</v>
      </c>
      <c r="O231" s="167">
        <f t="shared" si="43"/>
        <v>0</v>
      </c>
      <c r="P231" s="167">
        <f t="shared" si="43"/>
        <v>0</v>
      </c>
      <c r="Q231" s="167">
        <f t="shared" si="43"/>
        <v>0</v>
      </c>
      <c r="R231" s="206">
        <f t="shared" si="36"/>
        <v>0</v>
      </c>
      <c r="S231" s="144">
        <f t="shared" si="37"/>
        <v>0</v>
      </c>
      <c r="T231" s="144">
        <f t="shared" si="38"/>
        <v>0</v>
      </c>
      <c r="V231" s="219">
        <f t="shared" si="39"/>
        <v>0</v>
      </c>
    </row>
    <row r="232" spans="1:22" hidden="1" outlineLevel="2">
      <c r="C232" s="73" t="str">
        <v>SpareOfferB33</v>
      </c>
      <c r="F232" s="136">
        <f t="shared" si="40"/>
        <v>0</v>
      </c>
      <c r="G232" s="167">
        <f t="shared" si="42"/>
        <v>0</v>
      </c>
      <c r="H232" s="167">
        <f t="shared" si="42"/>
        <v>0</v>
      </c>
      <c r="I232" s="167">
        <f t="shared" si="42"/>
        <v>0</v>
      </c>
      <c r="J232" s="206">
        <f t="shared" si="33"/>
        <v>0</v>
      </c>
      <c r="K232" s="101">
        <f t="shared" si="34"/>
        <v>0</v>
      </c>
      <c r="L232" s="143"/>
      <c r="N232" s="136">
        <f t="shared" si="41"/>
        <v>0</v>
      </c>
      <c r="O232" s="167">
        <f t="shared" si="43"/>
        <v>0</v>
      </c>
      <c r="P232" s="167">
        <f t="shared" si="43"/>
        <v>0</v>
      </c>
      <c r="Q232" s="167">
        <f t="shared" si="43"/>
        <v>0</v>
      </c>
      <c r="R232" s="206">
        <f t="shared" si="36"/>
        <v>0</v>
      </c>
      <c r="S232" s="144">
        <f t="shared" si="37"/>
        <v>0</v>
      </c>
      <c r="T232" s="144">
        <f t="shared" si="38"/>
        <v>0</v>
      </c>
      <c r="V232" s="219">
        <f t="shared" si="39"/>
        <v>0</v>
      </c>
    </row>
    <row r="233" spans="1:22" hidden="1" outlineLevel="2">
      <c r="C233" s="73" t="str">
        <v>SpareOfferB34</v>
      </c>
      <c r="F233" s="136">
        <f t="shared" si="40"/>
        <v>0</v>
      </c>
      <c r="G233" s="167">
        <f t="shared" si="42"/>
        <v>0</v>
      </c>
      <c r="H233" s="167">
        <f t="shared" si="42"/>
        <v>0</v>
      </c>
      <c r="I233" s="167">
        <f t="shared" si="42"/>
        <v>0</v>
      </c>
      <c r="J233" s="206">
        <f t="shared" si="33"/>
        <v>0</v>
      </c>
      <c r="K233" s="101">
        <f t="shared" si="34"/>
        <v>0</v>
      </c>
      <c r="L233" s="143"/>
      <c r="N233" s="136">
        <f t="shared" si="41"/>
        <v>0</v>
      </c>
      <c r="O233" s="167">
        <f t="shared" si="43"/>
        <v>0</v>
      </c>
      <c r="P233" s="167">
        <f t="shared" si="43"/>
        <v>0</v>
      </c>
      <c r="Q233" s="167">
        <f t="shared" si="43"/>
        <v>0</v>
      </c>
      <c r="R233" s="206">
        <f t="shared" si="36"/>
        <v>0</v>
      </c>
      <c r="S233" s="144">
        <f t="shared" si="37"/>
        <v>0</v>
      </c>
      <c r="T233" s="144">
        <f t="shared" si="38"/>
        <v>0</v>
      </c>
      <c r="V233" s="219">
        <f t="shared" si="39"/>
        <v>0</v>
      </c>
    </row>
    <row r="234" spans="1:22" outlineLevel="1" collapsed="1">
      <c r="C234" s="73" t="str">
        <v>SpareOfferB35</v>
      </c>
      <c r="F234" s="136">
        <f t="shared" si="40"/>
        <v>0</v>
      </c>
      <c r="G234" s="167">
        <f t="shared" si="42"/>
        <v>0</v>
      </c>
      <c r="H234" s="167">
        <f t="shared" si="42"/>
        <v>0</v>
      </c>
      <c r="I234" s="167">
        <f t="shared" si="42"/>
        <v>0</v>
      </c>
      <c r="J234" s="206">
        <f t="shared" si="33"/>
        <v>0</v>
      </c>
      <c r="K234" s="101">
        <f t="shared" si="34"/>
        <v>0</v>
      </c>
      <c r="L234" s="143"/>
      <c r="N234" s="136">
        <f t="shared" si="41"/>
        <v>0</v>
      </c>
      <c r="O234" s="167">
        <f t="shared" si="43"/>
        <v>0</v>
      </c>
      <c r="P234" s="167">
        <f t="shared" si="43"/>
        <v>0</v>
      </c>
      <c r="Q234" s="167">
        <f t="shared" si="43"/>
        <v>0</v>
      </c>
      <c r="R234" s="206">
        <f t="shared" si="36"/>
        <v>0</v>
      </c>
      <c r="S234" s="144">
        <f t="shared" si="37"/>
        <v>0</v>
      </c>
      <c r="T234" s="144">
        <f t="shared" si="38"/>
        <v>0</v>
      </c>
      <c r="V234" s="219">
        <f t="shared" si="39"/>
        <v>0</v>
      </c>
    </row>
    <row r="235" spans="1:22" ht="12" outlineLevel="1">
      <c r="F235" s="43" t="s">
        <v>491</v>
      </c>
      <c r="G235" s="43" t="s">
        <v>517</v>
      </c>
      <c r="M235" s="43" t="s">
        <v>506</v>
      </c>
      <c r="N235" s="43" t="s">
        <v>487</v>
      </c>
      <c r="O235" s="43" t="s">
        <v>521</v>
      </c>
      <c r="U235" s="43" t="s">
        <v>510</v>
      </c>
      <c r="V235" s="43" t="s">
        <v>484</v>
      </c>
    </row>
    <row r="236" spans="1:22" outlineLevel="1"/>
    <row r="237" spans="1:22" s="220" customFormat="1">
      <c r="A237" s="220">
        <v>3</v>
      </c>
      <c r="B237" s="221" t="str">
        <f>INDEX(segments,A237)</f>
        <v>SpareSegmentC</v>
      </c>
      <c r="C237" s="207"/>
    </row>
    <row r="238" spans="1:22" outlineLevel="1"/>
    <row r="239" spans="1:22" outlineLevel="1">
      <c r="C239" s="35" t="s">
        <v>466</v>
      </c>
      <c r="G239" s="66" t="s">
        <v>162</v>
      </c>
      <c r="H239" s="66"/>
      <c r="I239" s="66"/>
      <c r="J239" s="66"/>
      <c r="K239" s="66"/>
      <c r="L239" s="66"/>
      <c r="O239" s="66" t="s">
        <v>164</v>
      </c>
      <c r="P239" s="66"/>
      <c r="Q239" s="66"/>
      <c r="R239" s="66"/>
      <c r="S239" s="66"/>
      <c r="T239" s="66"/>
    </row>
    <row r="240" spans="1:22" ht="23" outlineLevel="1">
      <c r="C240" s="1" t="s">
        <v>309</v>
      </c>
      <c r="G240" s="1" t="str">
        <f t="array" ref="G240:L240">TRANSPOSE(voice.destination)</f>
        <v>On-net</v>
      </c>
      <c r="H240" s="1" t="str">
        <v>Off-net fixed</v>
      </c>
      <c r="I240" s="1" t="str">
        <v>Off-net mobile</v>
      </c>
      <c r="J240" s="1" t="str">
        <v>International</v>
      </c>
      <c r="K240" s="1" t="str">
        <v>VAS</v>
      </c>
      <c r="L240" s="1" t="str">
        <v>Not used</v>
      </c>
      <c r="O240" s="1" t="str">
        <f t="array" ref="O240:T240">TRANSPOSE(voice.destination)</f>
        <v>On-net</v>
      </c>
      <c r="P240" s="1" t="str">
        <v>Off-net fixed</v>
      </c>
      <c r="Q240" s="1" t="str">
        <v>Off-net mobile</v>
      </c>
      <c r="R240" s="1" t="str">
        <v>International</v>
      </c>
      <c r="S240" s="1" t="str">
        <v>VAS</v>
      </c>
      <c r="T240" s="1" t="str">
        <v>Not used</v>
      </c>
    </row>
    <row r="241" spans="3:20" outlineLevel="1">
      <c r="C241" s="73" t="str">
        <f t="array" ref="C241:C275">offers.segment.3</f>
        <v>SpareOfferC1</v>
      </c>
      <c r="E241" t="s">
        <v>163</v>
      </c>
      <c r="G241" s="81">
        <f t="array" ref="G241">SUM(distribution.outgoing.voice.by.destination*(offers.segment.all=$C241)*(TRANSPOSE(voice.destination.domestic)=G$240))</f>
        <v>0</v>
      </c>
      <c r="H241" s="81">
        <f t="array" ref="H241">SUM(distribution.outgoing.voice.by.destination*(offers.segment.all=$C241)*(TRANSPOSE(voice.destination.domestic)=H$240))</f>
        <v>0</v>
      </c>
      <c r="I241" s="81">
        <f t="array" ref="I241">SUM(distribution.outgoing.voice.by.destination*(offers.segment.all=$C241)*(TRANSPOSE(voice.destination.domestic)=I$240))</f>
        <v>0</v>
      </c>
      <c r="J241" s="81">
        <f t="array" ref="J241">SUM(distribution.outgoing.voice.by.destination*(offers.segment.all=$C241)*(TRANSPOSE(voice.destination.domestic)=J$240))</f>
        <v>0</v>
      </c>
      <c r="K241" s="81">
        <f t="array" ref="K241">SUM(distribution.outgoing.voice.by.destination*(offers.segment.all=$C241)*(TRANSPOSE(voice.destination.domestic)=K$240))</f>
        <v>0</v>
      </c>
      <c r="L241" s="81">
        <f t="array" ref="L241">SUM(distribution.outgoing.voice.by.destination*(offers.segment.all=$C241)*(TRANSPOSE(voice.destination.domestic)=L$240))</f>
        <v>0</v>
      </c>
      <c r="O241" s="169">
        <f t="shared" ref="O241:O275" si="44">IF(SUM($G241,$I241)=0, 0, G241/SUM($G241,$I241))</f>
        <v>0</v>
      </c>
      <c r="P241" s="103">
        <v>0</v>
      </c>
      <c r="Q241" s="169">
        <f t="shared" ref="Q241:Q275" si="45">IF(SUM($G241,$I241)=0, 0, I241/SUM($G241,$I241))</f>
        <v>0</v>
      </c>
      <c r="R241" s="143"/>
      <c r="S241" s="143"/>
      <c r="T241" s="143"/>
    </row>
    <row r="242" spans="3:20" ht="12" hidden="1" customHeight="1" outlineLevel="2">
      <c r="C242" s="73" t="str">
        <v>SpareOfferC2</v>
      </c>
      <c r="E242" t="s">
        <v>163</v>
      </c>
      <c r="G242" s="81">
        <f t="array" ref="G242">SUM(distribution.outgoing.voice.by.destination*(offers.segment.all=$C242)*(TRANSPOSE(voice.destination.domestic)=G$240))</f>
        <v>0</v>
      </c>
      <c r="H242" s="81">
        <f t="array" ref="H242">SUM(distribution.outgoing.voice.by.destination*(offers.segment.all=$C242)*(TRANSPOSE(voice.destination.domestic)=H$240))</f>
        <v>0</v>
      </c>
      <c r="I242" s="81">
        <f t="array" ref="I242">SUM(distribution.outgoing.voice.by.destination*(offers.segment.all=$C242)*(TRANSPOSE(voice.destination.domestic)=I$240))</f>
        <v>0</v>
      </c>
      <c r="J242" s="81">
        <f t="array" ref="J242">SUM(distribution.outgoing.voice.by.destination*(offers.segment.all=$C242)*(TRANSPOSE(voice.destination.domestic)=J$240))</f>
        <v>0</v>
      </c>
      <c r="K242" s="81">
        <f t="array" ref="K242">SUM(distribution.outgoing.voice.by.destination*(offers.segment.all=$C242)*(TRANSPOSE(voice.destination.domestic)=K$240))</f>
        <v>0</v>
      </c>
      <c r="L242" s="81">
        <f t="array" ref="L242">SUM(distribution.outgoing.voice.by.destination*(offers.segment.all=$C242)*(TRANSPOSE(voice.destination.domestic)=L$240))</f>
        <v>0</v>
      </c>
      <c r="O242" s="169">
        <f t="shared" si="44"/>
        <v>0</v>
      </c>
      <c r="P242" s="103">
        <v>0</v>
      </c>
      <c r="Q242" s="169">
        <f t="shared" si="45"/>
        <v>0</v>
      </c>
      <c r="R242" s="143"/>
      <c r="S242" s="143"/>
      <c r="T242" s="143"/>
    </row>
    <row r="243" spans="3:20" ht="12" hidden="1" customHeight="1" outlineLevel="2">
      <c r="C243" s="73" t="str">
        <v>SpareOfferC3</v>
      </c>
      <c r="E243" t="s">
        <v>163</v>
      </c>
      <c r="G243" s="81">
        <f t="array" ref="G243">SUM(distribution.outgoing.voice.by.destination*(offers.segment.all=$C243)*(TRANSPOSE(voice.destination.domestic)=G$240))</f>
        <v>0</v>
      </c>
      <c r="H243" s="81">
        <f t="array" ref="H243">SUM(distribution.outgoing.voice.by.destination*(offers.segment.all=$C243)*(TRANSPOSE(voice.destination.domestic)=H$240))</f>
        <v>0</v>
      </c>
      <c r="I243" s="81">
        <f t="array" ref="I243">SUM(distribution.outgoing.voice.by.destination*(offers.segment.all=$C243)*(TRANSPOSE(voice.destination.domestic)=I$240))</f>
        <v>0</v>
      </c>
      <c r="J243" s="81">
        <f t="array" ref="J243">SUM(distribution.outgoing.voice.by.destination*(offers.segment.all=$C243)*(TRANSPOSE(voice.destination.domestic)=J$240))</f>
        <v>0</v>
      </c>
      <c r="K243" s="81">
        <f t="array" ref="K243">SUM(distribution.outgoing.voice.by.destination*(offers.segment.all=$C243)*(TRANSPOSE(voice.destination.domestic)=K$240))</f>
        <v>0</v>
      </c>
      <c r="L243" s="81">
        <f t="array" ref="L243">SUM(distribution.outgoing.voice.by.destination*(offers.segment.all=$C243)*(TRANSPOSE(voice.destination.domestic)=L$240))</f>
        <v>0</v>
      </c>
      <c r="O243" s="169">
        <f t="shared" si="44"/>
        <v>0</v>
      </c>
      <c r="P243" s="103">
        <v>0</v>
      </c>
      <c r="Q243" s="169">
        <f t="shared" si="45"/>
        <v>0</v>
      </c>
      <c r="R243" s="143"/>
      <c r="S243" s="143"/>
      <c r="T243" s="143"/>
    </row>
    <row r="244" spans="3:20" ht="12" hidden="1" customHeight="1" outlineLevel="2">
      <c r="C244" s="73" t="str">
        <v>SpareOfferC4</v>
      </c>
      <c r="E244" t="s">
        <v>163</v>
      </c>
      <c r="G244" s="81">
        <f t="array" ref="G244">SUM(distribution.outgoing.voice.by.destination*(offers.segment.all=$C244)*(TRANSPOSE(voice.destination.domestic)=G$240))</f>
        <v>0</v>
      </c>
      <c r="H244" s="81">
        <f t="array" ref="H244">SUM(distribution.outgoing.voice.by.destination*(offers.segment.all=$C244)*(TRANSPOSE(voice.destination.domestic)=H$240))</f>
        <v>0</v>
      </c>
      <c r="I244" s="81">
        <f t="array" ref="I244">SUM(distribution.outgoing.voice.by.destination*(offers.segment.all=$C244)*(TRANSPOSE(voice.destination.domestic)=I$240))</f>
        <v>0</v>
      </c>
      <c r="J244" s="81">
        <f t="array" ref="J244">SUM(distribution.outgoing.voice.by.destination*(offers.segment.all=$C244)*(TRANSPOSE(voice.destination.domestic)=J$240))</f>
        <v>0</v>
      </c>
      <c r="K244" s="81">
        <f t="array" ref="K244">SUM(distribution.outgoing.voice.by.destination*(offers.segment.all=$C244)*(TRANSPOSE(voice.destination.domestic)=K$240))</f>
        <v>0</v>
      </c>
      <c r="L244" s="81">
        <f t="array" ref="L244">SUM(distribution.outgoing.voice.by.destination*(offers.segment.all=$C244)*(TRANSPOSE(voice.destination.domestic)=L$240))</f>
        <v>0</v>
      </c>
      <c r="O244" s="169">
        <f t="shared" si="44"/>
        <v>0</v>
      </c>
      <c r="P244" s="103">
        <v>0</v>
      </c>
      <c r="Q244" s="169">
        <f t="shared" si="45"/>
        <v>0</v>
      </c>
      <c r="R244" s="143"/>
      <c r="S244" s="143"/>
      <c r="T244" s="143"/>
    </row>
    <row r="245" spans="3:20" ht="12" hidden="1" customHeight="1" outlineLevel="2">
      <c r="C245" s="73" t="str">
        <v>SpareOfferC5</v>
      </c>
      <c r="E245" t="s">
        <v>163</v>
      </c>
      <c r="G245" s="81">
        <f t="array" ref="G245">SUM(distribution.outgoing.voice.by.destination*(offers.segment.all=$C245)*(TRANSPOSE(voice.destination.domestic)=G$240))</f>
        <v>0</v>
      </c>
      <c r="H245" s="81">
        <f t="array" ref="H245">SUM(distribution.outgoing.voice.by.destination*(offers.segment.all=$C245)*(TRANSPOSE(voice.destination.domestic)=H$240))</f>
        <v>0</v>
      </c>
      <c r="I245" s="81">
        <f t="array" ref="I245">SUM(distribution.outgoing.voice.by.destination*(offers.segment.all=$C245)*(TRANSPOSE(voice.destination.domestic)=I$240))</f>
        <v>0</v>
      </c>
      <c r="J245" s="81">
        <f t="array" ref="J245">SUM(distribution.outgoing.voice.by.destination*(offers.segment.all=$C245)*(TRANSPOSE(voice.destination.domestic)=J$240))</f>
        <v>0</v>
      </c>
      <c r="K245" s="81">
        <f t="array" ref="K245">SUM(distribution.outgoing.voice.by.destination*(offers.segment.all=$C245)*(TRANSPOSE(voice.destination.domestic)=K$240))</f>
        <v>0</v>
      </c>
      <c r="L245" s="81">
        <f t="array" ref="L245">SUM(distribution.outgoing.voice.by.destination*(offers.segment.all=$C245)*(TRANSPOSE(voice.destination.domestic)=L$240))</f>
        <v>0</v>
      </c>
      <c r="O245" s="169">
        <f t="shared" si="44"/>
        <v>0</v>
      </c>
      <c r="P245" s="103">
        <v>0</v>
      </c>
      <c r="Q245" s="169">
        <f t="shared" si="45"/>
        <v>0</v>
      </c>
      <c r="R245" s="143"/>
      <c r="S245" s="143"/>
      <c r="T245" s="143"/>
    </row>
    <row r="246" spans="3:20" ht="12" hidden="1" customHeight="1" outlineLevel="2">
      <c r="C246" s="73" t="str">
        <v>SpareOfferC6</v>
      </c>
      <c r="E246" t="s">
        <v>163</v>
      </c>
      <c r="G246" s="81">
        <f t="array" ref="G246">SUM(distribution.outgoing.voice.by.destination*(offers.segment.all=$C246)*(TRANSPOSE(voice.destination.domestic)=G$240))</f>
        <v>0</v>
      </c>
      <c r="H246" s="81">
        <f t="array" ref="H246">SUM(distribution.outgoing.voice.by.destination*(offers.segment.all=$C246)*(TRANSPOSE(voice.destination.domestic)=H$240))</f>
        <v>0</v>
      </c>
      <c r="I246" s="81">
        <f t="array" ref="I246">SUM(distribution.outgoing.voice.by.destination*(offers.segment.all=$C246)*(TRANSPOSE(voice.destination.domestic)=I$240))</f>
        <v>0</v>
      </c>
      <c r="J246" s="81">
        <f t="array" ref="J246">SUM(distribution.outgoing.voice.by.destination*(offers.segment.all=$C246)*(TRANSPOSE(voice.destination.domestic)=J$240))</f>
        <v>0</v>
      </c>
      <c r="K246" s="81">
        <f t="array" ref="K246">SUM(distribution.outgoing.voice.by.destination*(offers.segment.all=$C246)*(TRANSPOSE(voice.destination.domestic)=K$240))</f>
        <v>0</v>
      </c>
      <c r="L246" s="81">
        <f t="array" ref="L246">SUM(distribution.outgoing.voice.by.destination*(offers.segment.all=$C246)*(TRANSPOSE(voice.destination.domestic)=L$240))</f>
        <v>0</v>
      </c>
      <c r="O246" s="169">
        <f t="shared" si="44"/>
        <v>0</v>
      </c>
      <c r="P246" s="103">
        <v>0</v>
      </c>
      <c r="Q246" s="169">
        <f t="shared" si="45"/>
        <v>0</v>
      </c>
      <c r="R246" s="143"/>
      <c r="S246" s="143"/>
      <c r="T246" s="143"/>
    </row>
    <row r="247" spans="3:20" ht="12" hidden="1" customHeight="1" outlineLevel="2">
      <c r="C247" s="73" t="str">
        <v>SpareOfferC7</v>
      </c>
      <c r="E247" t="s">
        <v>163</v>
      </c>
      <c r="G247" s="81">
        <f t="array" ref="G247">SUM(distribution.outgoing.voice.by.destination*(offers.segment.all=$C247)*(TRANSPOSE(voice.destination.domestic)=G$240))</f>
        <v>0</v>
      </c>
      <c r="H247" s="81">
        <f t="array" ref="H247">SUM(distribution.outgoing.voice.by.destination*(offers.segment.all=$C247)*(TRANSPOSE(voice.destination.domestic)=H$240))</f>
        <v>0</v>
      </c>
      <c r="I247" s="81">
        <f t="array" ref="I247">SUM(distribution.outgoing.voice.by.destination*(offers.segment.all=$C247)*(TRANSPOSE(voice.destination.domestic)=I$240))</f>
        <v>0</v>
      </c>
      <c r="J247" s="81">
        <f t="array" ref="J247">SUM(distribution.outgoing.voice.by.destination*(offers.segment.all=$C247)*(TRANSPOSE(voice.destination.domestic)=J$240))</f>
        <v>0</v>
      </c>
      <c r="K247" s="81">
        <f t="array" ref="K247">SUM(distribution.outgoing.voice.by.destination*(offers.segment.all=$C247)*(TRANSPOSE(voice.destination.domestic)=K$240))</f>
        <v>0</v>
      </c>
      <c r="L247" s="81">
        <f t="array" ref="L247">SUM(distribution.outgoing.voice.by.destination*(offers.segment.all=$C247)*(TRANSPOSE(voice.destination.domestic)=L$240))</f>
        <v>0</v>
      </c>
      <c r="O247" s="169">
        <f t="shared" si="44"/>
        <v>0</v>
      </c>
      <c r="P247" s="103">
        <v>0</v>
      </c>
      <c r="Q247" s="169">
        <f t="shared" si="45"/>
        <v>0</v>
      </c>
      <c r="R247" s="143"/>
      <c r="S247" s="143"/>
      <c r="T247" s="143"/>
    </row>
    <row r="248" spans="3:20" ht="12" hidden="1" customHeight="1" outlineLevel="2">
      <c r="C248" s="73" t="str">
        <v>SpareOfferC8</v>
      </c>
      <c r="E248" t="s">
        <v>163</v>
      </c>
      <c r="G248" s="81">
        <f t="array" ref="G248">SUM(distribution.outgoing.voice.by.destination*(offers.segment.all=$C248)*(TRANSPOSE(voice.destination.domestic)=G$240))</f>
        <v>0</v>
      </c>
      <c r="H248" s="81">
        <f t="array" ref="H248">SUM(distribution.outgoing.voice.by.destination*(offers.segment.all=$C248)*(TRANSPOSE(voice.destination.domestic)=H$240))</f>
        <v>0</v>
      </c>
      <c r="I248" s="81">
        <f t="array" ref="I248">SUM(distribution.outgoing.voice.by.destination*(offers.segment.all=$C248)*(TRANSPOSE(voice.destination.domestic)=I$240))</f>
        <v>0</v>
      </c>
      <c r="J248" s="81">
        <f t="array" ref="J248">SUM(distribution.outgoing.voice.by.destination*(offers.segment.all=$C248)*(TRANSPOSE(voice.destination.domestic)=J$240))</f>
        <v>0</v>
      </c>
      <c r="K248" s="81">
        <f t="array" ref="K248">SUM(distribution.outgoing.voice.by.destination*(offers.segment.all=$C248)*(TRANSPOSE(voice.destination.domestic)=K$240))</f>
        <v>0</v>
      </c>
      <c r="L248" s="81">
        <f t="array" ref="L248">SUM(distribution.outgoing.voice.by.destination*(offers.segment.all=$C248)*(TRANSPOSE(voice.destination.domestic)=L$240))</f>
        <v>0</v>
      </c>
      <c r="O248" s="169">
        <f t="shared" si="44"/>
        <v>0</v>
      </c>
      <c r="P248" s="103">
        <v>0</v>
      </c>
      <c r="Q248" s="169">
        <f t="shared" si="45"/>
        <v>0</v>
      </c>
      <c r="R248" s="143"/>
      <c r="S248" s="143"/>
      <c r="T248" s="143"/>
    </row>
    <row r="249" spans="3:20" ht="12" hidden="1" customHeight="1" outlineLevel="2">
      <c r="C249" s="73" t="str">
        <v>SpareOfferC9</v>
      </c>
      <c r="E249" t="s">
        <v>163</v>
      </c>
      <c r="G249" s="81">
        <f t="array" ref="G249">SUM(distribution.outgoing.voice.by.destination*(offers.segment.all=$C249)*(TRANSPOSE(voice.destination.domestic)=G$240))</f>
        <v>0</v>
      </c>
      <c r="H249" s="81">
        <f t="array" ref="H249">SUM(distribution.outgoing.voice.by.destination*(offers.segment.all=$C249)*(TRANSPOSE(voice.destination.domestic)=H$240))</f>
        <v>0</v>
      </c>
      <c r="I249" s="81">
        <f t="array" ref="I249">SUM(distribution.outgoing.voice.by.destination*(offers.segment.all=$C249)*(TRANSPOSE(voice.destination.domestic)=I$240))</f>
        <v>0</v>
      </c>
      <c r="J249" s="81">
        <f t="array" ref="J249">SUM(distribution.outgoing.voice.by.destination*(offers.segment.all=$C249)*(TRANSPOSE(voice.destination.domestic)=J$240))</f>
        <v>0</v>
      </c>
      <c r="K249" s="81">
        <f t="array" ref="K249">SUM(distribution.outgoing.voice.by.destination*(offers.segment.all=$C249)*(TRANSPOSE(voice.destination.domestic)=K$240))</f>
        <v>0</v>
      </c>
      <c r="L249" s="81">
        <f t="array" ref="L249">SUM(distribution.outgoing.voice.by.destination*(offers.segment.all=$C249)*(TRANSPOSE(voice.destination.domestic)=L$240))</f>
        <v>0</v>
      </c>
      <c r="O249" s="169">
        <f t="shared" si="44"/>
        <v>0</v>
      </c>
      <c r="P249" s="103">
        <v>0</v>
      </c>
      <c r="Q249" s="169">
        <f t="shared" si="45"/>
        <v>0</v>
      </c>
      <c r="R249" s="143"/>
      <c r="S249" s="143"/>
      <c r="T249" s="143"/>
    </row>
    <row r="250" spans="3:20" ht="12" hidden="1" customHeight="1" outlineLevel="2">
      <c r="C250" s="73" t="str">
        <v>SpareOfferC10</v>
      </c>
      <c r="E250" t="s">
        <v>163</v>
      </c>
      <c r="G250" s="81">
        <f t="array" ref="G250">SUM(distribution.outgoing.voice.by.destination*(offers.segment.all=$C250)*(TRANSPOSE(voice.destination.domestic)=G$240))</f>
        <v>0</v>
      </c>
      <c r="H250" s="81">
        <f t="array" ref="H250">SUM(distribution.outgoing.voice.by.destination*(offers.segment.all=$C250)*(TRANSPOSE(voice.destination.domestic)=H$240))</f>
        <v>0</v>
      </c>
      <c r="I250" s="81">
        <f t="array" ref="I250">SUM(distribution.outgoing.voice.by.destination*(offers.segment.all=$C250)*(TRANSPOSE(voice.destination.domestic)=I$240))</f>
        <v>0</v>
      </c>
      <c r="J250" s="81">
        <f t="array" ref="J250">SUM(distribution.outgoing.voice.by.destination*(offers.segment.all=$C250)*(TRANSPOSE(voice.destination.domestic)=J$240))</f>
        <v>0</v>
      </c>
      <c r="K250" s="81">
        <f t="array" ref="K250">SUM(distribution.outgoing.voice.by.destination*(offers.segment.all=$C250)*(TRANSPOSE(voice.destination.domestic)=K$240))</f>
        <v>0</v>
      </c>
      <c r="L250" s="81">
        <f t="array" ref="L250">SUM(distribution.outgoing.voice.by.destination*(offers.segment.all=$C250)*(TRANSPOSE(voice.destination.domestic)=L$240))</f>
        <v>0</v>
      </c>
      <c r="O250" s="169">
        <f t="shared" si="44"/>
        <v>0</v>
      </c>
      <c r="P250" s="103">
        <v>0</v>
      </c>
      <c r="Q250" s="169">
        <f t="shared" si="45"/>
        <v>0</v>
      </c>
      <c r="R250" s="143"/>
      <c r="S250" s="143"/>
      <c r="T250" s="143"/>
    </row>
    <row r="251" spans="3:20" ht="12" hidden="1" customHeight="1" outlineLevel="2">
      <c r="C251" s="73" t="str">
        <v>SpareOfferC11</v>
      </c>
      <c r="E251" t="s">
        <v>163</v>
      </c>
      <c r="G251" s="81">
        <f t="array" ref="G251">SUM(distribution.outgoing.voice.by.destination*(offers.segment.all=$C251)*(TRANSPOSE(voice.destination.domestic)=G$240))</f>
        <v>0</v>
      </c>
      <c r="H251" s="81">
        <f t="array" ref="H251">SUM(distribution.outgoing.voice.by.destination*(offers.segment.all=$C251)*(TRANSPOSE(voice.destination.domestic)=H$240))</f>
        <v>0</v>
      </c>
      <c r="I251" s="81">
        <f t="array" ref="I251">SUM(distribution.outgoing.voice.by.destination*(offers.segment.all=$C251)*(TRANSPOSE(voice.destination.domestic)=I$240))</f>
        <v>0</v>
      </c>
      <c r="J251" s="81">
        <f t="array" ref="J251">SUM(distribution.outgoing.voice.by.destination*(offers.segment.all=$C251)*(TRANSPOSE(voice.destination.domestic)=J$240))</f>
        <v>0</v>
      </c>
      <c r="K251" s="81">
        <f t="array" ref="K251">SUM(distribution.outgoing.voice.by.destination*(offers.segment.all=$C251)*(TRANSPOSE(voice.destination.domestic)=K$240))</f>
        <v>0</v>
      </c>
      <c r="L251" s="81">
        <f t="array" ref="L251">SUM(distribution.outgoing.voice.by.destination*(offers.segment.all=$C251)*(TRANSPOSE(voice.destination.domestic)=L$240))</f>
        <v>0</v>
      </c>
      <c r="O251" s="169">
        <f t="shared" si="44"/>
        <v>0</v>
      </c>
      <c r="P251" s="103">
        <v>0</v>
      </c>
      <c r="Q251" s="169">
        <f t="shared" si="45"/>
        <v>0</v>
      </c>
      <c r="R251" s="143"/>
      <c r="S251" s="143"/>
      <c r="T251" s="143"/>
    </row>
    <row r="252" spans="3:20" ht="12" hidden="1" customHeight="1" outlineLevel="2">
      <c r="C252" s="73" t="str">
        <v>SpareOfferC12</v>
      </c>
      <c r="E252" t="s">
        <v>163</v>
      </c>
      <c r="G252" s="81">
        <f t="array" ref="G252">SUM(distribution.outgoing.voice.by.destination*(offers.segment.all=$C252)*(TRANSPOSE(voice.destination.domestic)=G$240))</f>
        <v>0</v>
      </c>
      <c r="H252" s="81">
        <f t="array" ref="H252">SUM(distribution.outgoing.voice.by.destination*(offers.segment.all=$C252)*(TRANSPOSE(voice.destination.domestic)=H$240))</f>
        <v>0</v>
      </c>
      <c r="I252" s="81">
        <f t="array" ref="I252">SUM(distribution.outgoing.voice.by.destination*(offers.segment.all=$C252)*(TRANSPOSE(voice.destination.domestic)=I$240))</f>
        <v>0</v>
      </c>
      <c r="J252" s="81">
        <f t="array" ref="J252">SUM(distribution.outgoing.voice.by.destination*(offers.segment.all=$C252)*(TRANSPOSE(voice.destination.domestic)=J$240))</f>
        <v>0</v>
      </c>
      <c r="K252" s="81">
        <f t="array" ref="K252">SUM(distribution.outgoing.voice.by.destination*(offers.segment.all=$C252)*(TRANSPOSE(voice.destination.domestic)=K$240))</f>
        <v>0</v>
      </c>
      <c r="L252" s="81">
        <f t="array" ref="L252">SUM(distribution.outgoing.voice.by.destination*(offers.segment.all=$C252)*(TRANSPOSE(voice.destination.domestic)=L$240))</f>
        <v>0</v>
      </c>
      <c r="O252" s="169">
        <f t="shared" si="44"/>
        <v>0</v>
      </c>
      <c r="P252" s="103">
        <v>0</v>
      </c>
      <c r="Q252" s="169">
        <f t="shared" si="45"/>
        <v>0</v>
      </c>
      <c r="R252" s="143"/>
      <c r="S252" s="143"/>
      <c r="T252" s="143"/>
    </row>
    <row r="253" spans="3:20" ht="12" hidden="1" customHeight="1" outlineLevel="2">
      <c r="C253" s="73" t="str">
        <v>SpareOfferC13</v>
      </c>
      <c r="E253" t="s">
        <v>163</v>
      </c>
      <c r="G253" s="81">
        <f t="array" ref="G253">SUM(distribution.outgoing.voice.by.destination*(offers.segment.all=$C253)*(TRANSPOSE(voice.destination.domestic)=G$240))</f>
        <v>0</v>
      </c>
      <c r="H253" s="81">
        <f t="array" ref="H253">SUM(distribution.outgoing.voice.by.destination*(offers.segment.all=$C253)*(TRANSPOSE(voice.destination.domestic)=H$240))</f>
        <v>0</v>
      </c>
      <c r="I253" s="81">
        <f t="array" ref="I253">SUM(distribution.outgoing.voice.by.destination*(offers.segment.all=$C253)*(TRANSPOSE(voice.destination.domestic)=I$240))</f>
        <v>0</v>
      </c>
      <c r="J253" s="81">
        <f t="array" ref="J253">SUM(distribution.outgoing.voice.by.destination*(offers.segment.all=$C253)*(TRANSPOSE(voice.destination.domestic)=J$240))</f>
        <v>0</v>
      </c>
      <c r="K253" s="81">
        <f t="array" ref="K253">SUM(distribution.outgoing.voice.by.destination*(offers.segment.all=$C253)*(TRANSPOSE(voice.destination.domestic)=K$240))</f>
        <v>0</v>
      </c>
      <c r="L253" s="81">
        <f t="array" ref="L253">SUM(distribution.outgoing.voice.by.destination*(offers.segment.all=$C253)*(TRANSPOSE(voice.destination.domestic)=L$240))</f>
        <v>0</v>
      </c>
      <c r="O253" s="169">
        <f t="shared" si="44"/>
        <v>0</v>
      </c>
      <c r="P253" s="103">
        <v>0</v>
      </c>
      <c r="Q253" s="169">
        <f t="shared" si="45"/>
        <v>0</v>
      </c>
      <c r="R253" s="143"/>
      <c r="S253" s="143"/>
      <c r="T253" s="143"/>
    </row>
    <row r="254" spans="3:20" ht="12" hidden="1" customHeight="1" outlineLevel="2">
      <c r="C254" s="73" t="str">
        <v>SpareOfferC14</v>
      </c>
      <c r="E254" t="s">
        <v>163</v>
      </c>
      <c r="G254" s="81">
        <f t="array" ref="G254">SUM(distribution.outgoing.voice.by.destination*(offers.segment.all=$C254)*(TRANSPOSE(voice.destination.domestic)=G$240))</f>
        <v>0</v>
      </c>
      <c r="H254" s="81">
        <f t="array" ref="H254">SUM(distribution.outgoing.voice.by.destination*(offers.segment.all=$C254)*(TRANSPOSE(voice.destination.domestic)=H$240))</f>
        <v>0</v>
      </c>
      <c r="I254" s="81">
        <f t="array" ref="I254">SUM(distribution.outgoing.voice.by.destination*(offers.segment.all=$C254)*(TRANSPOSE(voice.destination.domestic)=I$240))</f>
        <v>0</v>
      </c>
      <c r="J254" s="81">
        <f t="array" ref="J254">SUM(distribution.outgoing.voice.by.destination*(offers.segment.all=$C254)*(TRANSPOSE(voice.destination.domestic)=J$240))</f>
        <v>0</v>
      </c>
      <c r="K254" s="81">
        <f t="array" ref="K254">SUM(distribution.outgoing.voice.by.destination*(offers.segment.all=$C254)*(TRANSPOSE(voice.destination.domestic)=K$240))</f>
        <v>0</v>
      </c>
      <c r="L254" s="81">
        <f t="array" ref="L254">SUM(distribution.outgoing.voice.by.destination*(offers.segment.all=$C254)*(TRANSPOSE(voice.destination.domestic)=L$240))</f>
        <v>0</v>
      </c>
      <c r="O254" s="169">
        <f t="shared" si="44"/>
        <v>0</v>
      </c>
      <c r="P254" s="103">
        <v>0</v>
      </c>
      <c r="Q254" s="169">
        <f t="shared" si="45"/>
        <v>0</v>
      </c>
      <c r="R254" s="143"/>
      <c r="S254" s="143"/>
      <c r="T254" s="143"/>
    </row>
    <row r="255" spans="3:20" ht="12" hidden="1" customHeight="1" outlineLevel="2">
      <c r="C255" s="73" t="str">
        <v>SpareOfferC15</v>
      </c>
      <c r="E255" t="s">
        <v>163</v>
      </c>
      <c r="G255" s="81">
        <f t="array" ref="G255">SUM(distribution.outgoing.voice.by.destination*(offers.segment.all=$C255)*(TRANSPOSE(voice.destination.domestic)=G$240))</f>
        <v>0</v>
      </c>
      <c r="H255" s="81">
        <f t="array" ref="H255">SUM(distribution.outgoing.voice.by.destination*(offers.segment.all=$C255)*(TRANSPOSE(voice.destination.domestic)=H$240))</f>
        <v>0</v>
      </c>
      <c r="I255" s="81">
        <f t="array" ref="I255">SUM(distribution.outgoing.voice.by.destination*(offers.segment.all=$C255)*(TRANSPOSE(voice.destination.domestic)=I$240))</f>
        <v>0</v>
      </c>
      <c r="J255" s="81">
        <f t="array" ref="J255">SUM(distribution.outgoing.voice.by.destination*(offers.segment.all=$C255)*(TRANSPOSE(voice.destination.domestic)=J$240))</f>
        <v>0</v>
      </c>
      <c r="K255" s="81">
        <f t="array" ref="K255">SUM(distribution.outgoing.voice.by.destination*(offers.segment.all=$C255)*(TRANSPOSE(voice.destination.domestic)=K$240))</f>
        <v>0</v>
      </c>
      <c r="L255" s="81">
        <f t="array" ref="L255">SUM(distribution.outgoing.voice.by.destination*(offers.segment.all=$C255)*(TRANSPOSE(voice.destination.domestic)=L$240))</f>
        <v>0</v>
      </c>
      <c r="O255" s="169">
        <f t="shared" si="44"/>
        <v>0</v>
      </c>
      <c r="P255" s="103">
        <v>0</v>
      </c>
      <c r="Q255" s="169">
        <f t="shared" si="45"/>
        <v>0</v>
      </c>
      <c r="R255" s="143"/>
      <c r="S255" s="143"/>
      <c r="T255" s="143"/>
    </row>
    <row r="256" spans="3:20" ht="12" hidden="1" customHeight="1" outlineLevel="2">
      <c r="C256" s="73" t="str">
        <v>SpareOfferC16</v>
      </c>
      <c r="E256" t="s">
        <v>163</v>
      </c>
      <c r="G256" s="81">
        <f t="array" ref="G256">SUM(distribution.outgoing.voice.by.destination*(offers.segment.all=$C256)*(TRANSPOSE(voice.destination.domestic)=G$240))</f>
        <v>0</v>
      </c>
      <c r="H256" s="81">
        <f t="array" ref="H256">SUM(distribution.outgoing.voice.by.destination*(offers.segment.all=$C256)*(TRANSPOSE(voice.destination.domestic)=H$240))</f>
        <v>0</v>
      </c>
      <c r="I256" s="81">
        <f t="array" ref="I256">SUM(distribution.outgoing.voice.by.destination*(offers.segment.all=$C256)*(TRANSPOSE(voice.destination.domestic)=I$240))</f>
        <v>0</v>
      </c>
      <c r="J256" s="81">
        <f t="array" ref="J256">SUM(distribution.outgoing.voice.by.destination*(offers.segment.all=$C256)*(TRANSPOSE(voice.destination.domestic)=J$240))</f>
        <v>0</v>
      </c>
      <c r="K256" s="81">
        <f t="array" ref="K256">SUM(distribution.outgoing.voice.by.destination*(offers.segment.all=$C256)*(TRANSPOSE(voice.destination.domestic)=K$240))</f>
        <v>0</v>
      </c>
      <c r="L256" s="81">
        <f t="array" ref="L256">SUM(distribution.outgoing.voice.by.destination*(offers.segment.all=$C256)*(TRANSPOSE(voice.destination.domestic)=L$240))</f>
        <v>0</v>
      </c>
      <c r="O256" s="169">
        <f t="shared" si="44"/>
        <v>0</v>
      </c>
      <c r="P256" s="103">
        <v>0</v>
      </c>
      <c r="Q256" s="169">
        <f t="shared" si="45"/>
        <v>0</v>
      </c>
      <c r="R256" s="143"/>
      <c r="S256" s="143"/>
      <c r="T256" s="143"/>
    </row>
    <row r="257" spans="3:20" ht="12" hidden="1" customHeight="1" outlineLevel="2">
      <c r="C257" s="73" t="str">
        <v>SpareOfferC17</v>
      </c>
      <c r="E257" t="s">
        <v>163</v>
      </c>
      <c r="G257" s="81">
        <f t="array" ref="G257">SUM(distribution.outgoing.voice.by.destination*(offers.segment.all=$C257)*(TRANSPOSE(voice.destination.domestic)=G$240))</f>
        <v>0</v>
      </c>
      <c r="H257" s="81">
        <f t="array" ref="H257">SUM(distribution.outgoing.voice.by.destination*(offers.segment.all=$C257)*(TRANSPOSE(voice.destination.domestic)=H$240))</f>
        <v>0</v>
      </c>
      <c r="I257" s="81">
        <f t="array" ref="I257">SUM(distribution.outgoing.voice.by.destination*(offers.segment.all=$C257)*(TRANSPOSE(voice.destination.domestic)=I$240))</f>
        <v>0</v>
      </c>
      <c r="J257" s="81">
        <f t="array" ref="J257">SUM(distribution.outgoing.voice.by.destination*(offers.segment.all=$C257)*(TRANSPOSE(voice.destination.domestic)=J$240))</f>
        <v>0</v>
      </c>
      <c r="K257" s="81">
        <f t="array" ref="K257">SUM(distribution.outgoing.voice.by.destination*(offers.segment.all=$C257)*(TRANSPOSE(voice.destination.domestic)=K$240))</f>
        <v>0</v>
      </c>
      <c r="L257" s="81">
        <f t="array" ref="L257">SUM(distribution.outgoing.voice.by.destination*(offers.segment.all=$C257)*(TRANSPOSE(voice.destination.domestic)=L$240))</f>
        <v>0</v>
      </c>
      <c r="O257" s="169">
        <f t="shared" si="44"/>
        <v>0</v>
      </c>
      <c r="P257" s="103">
        <v>0</v>
      </c>
      <c r="Q257" s="169">
        <f t="shared" si="45"/>
        <v>0</v>
      </c>
      <c r="R257" s="143"/>
      <c r="S257" s="143"/>
      <c r="T257" s="143"/>
    </row>
    <row r="258" spans="3:20" ht="12" hidden="1" customHeight="1" outlineLevel="2">
      <c r="C258" s="73" t="str">
        <v>SpareOfferC18</v>
      </c>
      <c r="E258" t="s">
        <v>163</v>
      </c>
      <c r="G258" s="81">
        <f t="array" ref="G258">SUM(distribution.outgoing.voice.by.destination*(offers.segment.all=$C258)*(TRANSPOSE(voice.destination.domestic)=G$240))</f>
        <v>0</v>
      </c>
      <c r="H258" s="81">
        <f t="array" ref="H258">SUM(distribution.outgoing.voice.by.destination*(offers.segment.all=$C258)*(TRANSPOSE(voice.destination.domestic)=H$240))</f>
        <v>0</v>
      </c>
      <c r="I258" s="81">
        <f t="array" ref="I258">SUM(distribution.outgoing.voice.by.destination*(offers.segment.all=$C258)*(TRANSPOSE(voice.destination.domestic)=I$240))</f>
        <v>0</v>
      </c>
      <c r="J258" s="81">
        <f t="array" ref="J258">SUM(distribution.outgoing.voice.by.destination*(offers.segment.all=$C258)*(TRANSPOSE(voice.destination.domestic)=J$240))</f>
        <v>0</v>
      </c>
      <c r="K258" s="81">
        <f t="array" ref="K258">SUM(distribution.outgoing.voice.by.destination*(offers.segment.all=$C258)*(TRANSPOSE(voice.destination.domestic)=K$240))</f>
        <v>0</v>
      </c>
      <c r="L258" s="81">
        <f t="array" ref="L258">SUM(distribution.outgoing.voice.by.destination*(offers.segment.all=$C258)*(TRANSPOSE(voice.destination.domestic)=L$240))</f>
        <v>0</v>
      </c>
      <c r="O258" s="169">
        <f t="shared" si="44"/>
        <v>0</v>
      </c>
      <c r="P258" s="103">
        <v>0</v>
      </c>
      <c r="Q258" s="169">
        <f t="shared" si="45"/>
        <v>0</v>
      </c>
      <c r="R258" s="143"/>
      <c r="S258" s="143"/>
      <c r="T258" s="143"/>
    </row>
    <row r="259" spans="3:20" ht="12" hidden="1" customHeight="1" outlineLevel="2">
      <c r="C259" s="73" t="str">
        <v>SpareOfferC19</v>
      </c>
      <c r="E259" t="s">
        <v>163</v>
      </c>
      <c r="G259" s="81">
        <f t="array" ref="G259">SUM(distribution.outgoing.voice.by.destination*(offers.segment.all=$C259)*(TRANSPOSE(voice.destination.domestic)=G$240))</f>
        <v>0</v>
      </c>
      <c r="H259" s="81">
        <f t="array" ref="H259">SUM(distribution.outgoing.voice.by.destination*(offers.segment.all=$C259)*(TRANSPOSE(voice.destination.domestic)=H$240))</f>
        <v>0</v>
      </c>
      <c r="I259" s="81">
        <f t="array" ref="I259">SUM(distribution.outgoing.voice.by.destination*(offers.segment.all=$C259)*(TRANSPOSE(voice.destination.domestic)=I$240))</f>
        <v>0</v>
      </c>
      <c r="J259" s="81">
        <f t="array" ref="J259">SUM(distribution.outgoing.voice.by.destination*(offers.segment.all=$C259)*(TRANSPOSE(voice.destination.domestic)=J$240))</f>
        <v>0</v>
      </c>
      <c r="K259" s="81">
        <f t="array" ref="K259">SUM(distribution.outgoing.voice.by.destination*(offers.segment.all=$C259)*(TRANSPOSE(voice.destination.domestic)=K$240))</f>
        <v>0</v>
      </c>
      <c r="L259" s="81">
        <f t="array" ref="L259">SUM(distribution.outgoing.voice.by.destination*(offers.segment.all=$C259)*(TRANSPOSE(voice.destination.domestic)=L$240))</f>
        <v>0</v>
      </c>
      <c r="O259" s="169">
        <f t="shared" si="44"/>
        <v>0</v>
      </c>
      <c r="P259" s="103">
        <v>0</v>
      </c>
      <c r="Q259" s="169">
        <f t="shared" si="45"/>
        <v>0</v>
      </c>
      <c r="R259" s="143"/>
      <c r="S259" s="143"/>
      <c r="T259" s="143"/>
    </row>
    <row r="260" spans="3:20" ht="12" hidden="1" customHeight="1" outlineLevel="2">
      <c r="C260" s="73" t="str">
        <v>SpareOfferC20</v>
      </c>
      <c r="E260" t="s">
        <v>163</v>
      </c>
      <c r="G260" s="81">
        <f t="array" ref="G260">SUM(distribution.outgoing.voice.by.destination*(offers.segment.all=$C260)*(TRANSPOSE(voice.destination.domestic)=G$240))</f>
        <v>0</v>
      </c>
      <c r="H260" s="81">
        <f t="array" ref="H260">SUM(distribution.outgoing.voice.by.destination*(offers.segment.all=$C260)*(TRANSPOSE(voice.destination.domestic)=H$240))</f>
        <v>0</v>
      </c>
      <c r="I260" s="81">
        <f t="array" ref="I260">SUM(distribution.outgoing.voice.by.destination*(offers.segment.all=$C260)*(TRANSPOSE(voice.destination.domestic)=I$240))</f>
        <v>0</v>
      </c>
      <c r="J260" s="81">
        <f t="array" ref="J260">SUM(distribution.outgoing.voice.by.destination*(offers.segment.all=$C260)*(TRANSPOSE(voice.destination.domestic)=J$240))</f>
        <v>0</v>
      </c>
      <c r="K260" s="81">
        <f t="array" ref="K260">SUM(distribution.outgoing.voice.by.destination*(offers.segment.all=$C260)*(TRANSPOSE(voice.destination.domestic)=K$240))</f>
        <v>0</v>
      </c>
      <c r="L260" s="81">
        <f t="array" ref="L260">SUM(distribution.outgoing.voice.by.destination*(offers.segment.all=$C260)*(TRANSPOSE(voice.destination.domestic)=L$240))</f>
        <v>0</v>
      </c>
      <c r="O260" s="169">
        <f t="shared" si="44"/>
        <v>0</v>
      </c>
      <c r="P260" s="103">
        <v>0</v>
      </c>
      <c r="Q260" s="169">
        <f t="shared" si="45"/>
        <v>0</v>
      </c>
      <c r="R260" s="143"/>
      <c r="S260" s="143"/>
      <c r="T260" s="143"/>
    </row>
    <row r="261" spans="3:20" ht="12" hidden="1" customHeight="1" outlineLevel="2">
      <c r="C261" s="73" t="str">
        <v>SpareOfferC21</v>
      </c>
      <c r="E261" t="s">
        <v>163</v>
      </c>
      <c r="G261" s="81">
        <f t="array" ref="G261">SUM(distribution.outgoing.voice.by.destination*(offers.segment.all=$C261)*(TRANSPOSE(voice.destination.domestic)=G$240))</f>
        <v>0</v>
      </c>
      <c r="H261" s="81">
        <f t="array" ref="H261">SUM(distribution.outgoing.voice.by.destination*(offers.segment.all=$C261)*(TRANSPOSE(voice.destination.domestic)=H$240))</f>
        <v>0</v>
      </c>
      <c r="I261" s="81">
        <f t="array" ref="I261">SUM(distribution.outgoing.voice.by.destination*(offers.segment.all=$C261)*(TRANSPOSE(voice.destination.domestic)=I$240))</f>
        <v>0</v>
      </c>
      <c r="J261" s="81">
        <f t="array" ref="J261">SUM(distribution.outgoing.voice.by.destination*(offers.segment.all=$C261)*(TRANSPOSE(voice.destination.domestic)=J$240))</f>
        <v>0</v>
      </c>
      <c r="K261" s="81">
        <f t="array" ref="K261">SUM(distribution.outgoing.voice.by.destination*(offers.segment.all=$C261)*(TRANSPOSE(voice.destination.domestic)=K$240))</f>
        <v>0</v>
      </c>
      <c r="L261" s="81">
        <f t="array" ref="L261">SUM(distribution.outgoing.voice.by.destination*(offers.segment.all=$C261)*(TRANSPOSE(voice.destination.domestic)=L$240))</f>
        <v>0</v>
      </c>
      <c r="O261" s="169">
        <f t="shared" si="44"/>
        <v>0</v>
      </c>
      <c r="P261" s="103">
        <v>0</v>
      </c>
      <c r="Q261" s="169">
        <f t="shared" si="45"/>
        <v>0</v>
      </c>
      <c r="R261" s="143"/>
      <c r="S261" s="143"/>
      <c r="T261" s="143"/>
    </row>
    <row r="262" spans="3:20" ht="12" hidden="1" customHeight="1" outlineLevel="2">
      <c r="C262" s="73" t="str">
        <v>SpareOfferC22</v>
      </c>
      <c r="E262" t="s">
        <v>163</v>
      </c>
      <c r="G262" s="81">
        <f t="array" ref="G262">SUM(distribution.outgoing.voice.by.destination*(offers.segment.all=$C262)*(TRANSPOSE(voice.destination.domestic)=G$240))</f>
        <v>0</v>
      </c>
      <c r="H262" s="81">
        <f t="array" ref="H262">SUM(distribution.outgoing.voice.by.destination*(offers.segment.all=$C262)*(TRANSPOSE(voice.destination.domestic)=H$240))</f>
        <v>0</v>
      </c>
      <c r="I262" s="81">
        <f t="array" ref="I262">SUM(distribution.outgoing.voice.by.destination*(offers.segment.all=$C262)*(TRANSPOSE(voice.destination.domestic)=I$240))</f>
        <v>0</v>
      </c>
      <c r="J262" s="81">
        <f t="array" ref="J262">SUM(distribution.outgoing.voice.by.destination*(offers.segment.all=$C262)*(TRANSPOSE(voice.destination.domestic)=J$240))</f>
        <v>0</v>
      </c>
      <c r="K262" s="81">
        <f t="array" ref="K262">SUM(distribution.outgoing.voice.by.destination*(offers.segment.all=$C262)*(TRANSPOSE(voice.destination.domestic)=K$240))</f>
        <v>0</v>
      </c>
      <c r="L262" s="81">
        <f t="array" ref="L262">SUM(distribution.outgoing.voice.by.destination*(offers.segment.all=$C262)*(TRANSPOSE(voice.destination.domestic)=L$240))</f>
        <v>0</v>
      </c>
      <c r="O262" s="169">
        <f t="shared" si="44"/>
        <v>0</v>
      </c>
      <c r="P262" s="103">
        <v>0</v>
      </c>
      <c r="Q262" s="169">
        <f t="shared" si="45"/>
        <v>0</v>
      </c>
      <c r="R262" s="143"/>
      <c r="S262" s="143"/>
      <c r="T262" s="143"/>
    </row>
    <row r="263" spans="3:20" ht="12" hidden="1" customHeight="1" outlineLevel="2">
      <c r="C263" s="73" t="str">
        <v>SpareOfferC23</v>
      </c>
      <c r="E263" t="s">
        <v>163</v>
      </c>
      <c r="G263" s="81">
        <f t="array" ref="G263">SUM(distribution.outgoing.voice.by.destination*(offers.segment.all=$C263)*(TRANSPOSE(voice.destination.domestic)=G$240))</f>
        <v>0</v>
      </c>
      <c r="H263" s="81">
        <f t="array" ref="H263">SUM(distribution.outgoing.voice.by.destination*(offers.segment.all=$C263)*(TRANSPOSE(voice.destination.domestic)=H$240))</f>
        <v>0</v>
      </c>
      <c r="I263" s="81">
        <f t="array" ref="I263">SUM(distribution.outgoing.voice.by.destination*(offers.segment.all=$C263)*(TRANSPOSE(voice.destination.domestic)=I$240))</f>
        <v>0</v>
      </c>
      <c r="J263" s="81">
        <f t="array" ref="J263">SUM(distribution.outgoing.voice.by.destination*(offers.segment.all=$C263)*(TRANSPOSE(voice.destination.domestic)=J$240))</f>
        <v>0</v>
      </c>
      <c r="K263" s="81">
        <f t="array" ref="K263">SUM(distribution.outgoing.voice.by.destination*(offers.segment.all=$C263)*(TRANSPOSE(voice.destination.domestic)=K$240))</f>
        <v>0</v>
      </c>
      <c r="L263" s="81">
        <f t="array" ref="L263">SUM(distribution.outgoing.voice.by.destination*(offers.segment.all=$C263)*(TRANSPOSE(voice.destination.domestic)=L$240))</f>
        <v>0</v>
      </c>
      <c r="O263" s="169">
        <f t="shared" si="44"/>
        <v>0</v>
      </c>
      <c r="P263" s="103">
        <v>0</v>
      </c>
      <c r="Q263" s="169">
        <f t="shared" si="45"/>
        <v>0</v>
      </c>
      <c r="R263" s="143"/>
      <c r="S263" s="143"/>
      <c r="T263" s="143"/>
    </row>
    <row r="264" spans="3:20" ht="12" hidden="1" customHeight="1" outlineLevel="2">
      <c r="C264" s="73" t="str">
        <v>SpareOfferC24</v>
      </c>
      <c r="E264" t="s">
        <v>163</v>
      </c>
      <c r="G264" s="81">
        <f t="array" ref="G264">SUM(distribution.outgoing.voice.by.destination*(offers.segment.all=$C264)*(TRANSPOSE(voice.destination.domestic)=G$240))</f>
        <v>0</v>
      </c>
      <c r="H264" s="81">
        <f t="array" ref="H264">SUM(distribution.outgoing.voice.by.destination*(offers.segment.all=$C264)*(TRANSPOSE(voice.destination.domestic)=H$240))</f>
        <v>0</v>
      </c>
      <c r="I264" s="81">
        <f t="array" ref="I264">SUM(distribution.outgoing.voice.by.destination*(offers.segment.all=$C264)*(TRANSPOSE(voice.destination.domestic)=I$240))</f>
        <v>0</v>
      </c>
      <c r="J264" s="81">
        <f t="array" ref="J264">SUM(distribution.outgoing.voice.by.destination*(offers.segment.all=$C264)*(TRANSPOSE(voice.destination.domestic)=J$240))</f>
        <v>0</v>
      </c>
      <c r="K264" s="81">
        <f t="array" ref="K264">SUM(distribution.outgoing.voice.by.destination*(offers.segment.all=$C264)*(TRANSPOSE(voice.destination.domestic)=K$240))</f>
        <v>0</v>
      </c>
      <c r="L264" s="81">
        <f t="array" ref="L264">SUM(distribution.outgoing.voice.by.destination*(offers.segment.all=$C264)*(TRANSPOSE(voice.destination.domestic)=L$240))</f>
        <v>0</v>
      </c>
      <c r="O264" s="169">
        <f t="shared" si="44"/>
        <v>0</v>
      </c>
      <c r="P264" s="103">
        <v>0</v>
      </c>
      <c r="Q264" s="169">
        <f t="shared" si="45"/>
        <v>0</v>
      </c>
      <c r="R264" s="143"/>
      <c r="S264" s="143"/>
      <c r="T264" s="143"/>
    </row>
    <row r="265" spans="3:20" ht="12" hidden="1" customHeight="1" outlineLevel="2">
      <c r="C265" s="73" t="str">
        <v>SpareOfferC25</v>
      </c>
      <c r="E265" t="s">
        <v>163</v>
      </c>
      <c r="G265" s="81">
        <f t="array" ref="G265">SUM(distribution.outgoing.voice.by.destination*(offers.segment.all=$C265)*(TRANSPOSE(voice.destination.domestic)=G$240))</f>
        <v>0</v>
      </c>
      <c r="H265" s="81">
        <f t="array" ref="H265">SUM(distribution.outgoing.voice.by.destination*(offers.segment.all=$C265)*(TRANSPOSE(voice.destination.domestic)=H$240))</f>
        <v>0</v>
      </c>
      <c r="I265" s="81">
        <f t="array" ref="I265">SUM(distribution.outgoing.voice.by.destination*(offers.segment.all=$C265)*(TRANSPOSE(voice.destination.domestic)=I$240))</f>
        <v>0</v>
      </c>
      <c r="J265" s="81">
        <f t="array" ref="J265">SUM(distribution.outgoing.voice.by.destination*(offers.segment.all=$C265)*(TRANSPOSE(voice.destination.domestic)=J$240))</f>
        <v>0</v>
      </c>
      <c r="K265" s="81">
        <f t="array" ref="K265">SUM(distribution.outgoing.voice.by.destination*(offers.segment.all=$C265)*(TRANSPOSE(voice.destination.domestic)=K$240))</f>
        <v>0</v>
      </c>
      <c r="L265" s="81">
        <f t="array" ref="L265">SUM(distribution.outgoing.voice.by.destination*(offers.segment.all=$C265)*(TRANSPOSE(voice.destination.domestic)=L$240))</f>
        <v>0</v>
      </c>
      <c r="O265" s="169">
        <f t="shared" si="44"/>
        <v>0</v>
      </c>
      <c r="P265" s="103">
        <v>0</v>
      </c>
      <c r="Q265" s="169">
        <f t="shared" si="45"/>
        <v>0</v>
      </c>
      <c r="R265" s="143"/>
      <c r="S265" s="143"/>
      <c r="T265" s="143"/>
    </row>
    <row r="266" spans="3:20" ht="12" hidden="1" customHeight="1" outlineLevel="2">
      <c r="C266" s="73" t="str">
        <v>SpareOfferC26</v>
      </c>
      <c r="E266" t="s">
        <v>163</v>
      </c>
      <c r="G266" s="81">
        <f t="array" ref="G266">SUM(distribution.outgoing.voice.by.destination*(offers.segment.all=$C266)*(TRANSPOSE(voice.destination.domestic)=G$240))</f>
        <v>0</v>
      </c>
      <c r="H266" s="81">
        <f t="array" ref="H266">SUM(distribution.outgoing.voice.by.destination*(offers.segment.all=$C266)*(TRANSPOSE(voice.destination.domestic)=H$240))</f>
        <v>0</v>
      </c>
      <c r="I266" s="81">
        <f t="array" ref="I266">SUM(distribution.outgoing.voice.by.destination*(offers.segment.all=$C266)*(TRANSPOSE(voice.destination.domestic)=I$240))</f>
        <v>0</v>
      </c>
      <c r="J266" s="81">
        <f t="array" ref="J266">SUM(distribution.outgoing.voice.by.destination*(offers.segment.all=$C266)*(TRANSPOSE(voice.destination.domestic)=J$240))</f>
        <v>0</v>
      </c>
      <c r="K266" s="81">
        <f t="array" ref="K266">SUM(distribution.outgoing.voice.by.destination*(offers.segment.all=$C266)*(TRANSPOSE(voice.destination.domestic)=K$240))</f>
        <v>0</v>
      </c>
      <c r="L266" s="81">
        <f t="array" ref="L266">SUM(distribution.outgoing.voice.by.destination*(offers.segment.all=$C266)*(TRANSPOSE(voice.destination.domestic)=L$240))</f>
        <v>0</v>
      </c>
      <c r="O266" s="169">
        <f t="shared" si="44"/>
        <v>0</v>
      </c>
      <c r="P266" s="103">
        <v>0</v>
      </c>
      <c r="Q266" s="169">
        <f t="shared" si="45"/>
        <v>0</v>
      </c>
      <c r="R266" s="143"/>
      <c r="S266" s="143"/>
      <c r="T266" s="143"/>
    </row>
    <row r="267" spans="3:20" ht="12" hidden="1" customHeight="1" outlineLevel="2">
      <c r="C267" s="73" t="str">
        <v>SpareOfferC27</v>
      </c>
      <c r="E267" t="s">
        <v>163</v>
      </c>
      <c r="G267" s="81">
        <f t="array" ref="G267">SUM(distribution.outgoing.voice.by.destination*(offers.segment.all=$C267)*(TRANSPOSE(voice.destination.domestic)=G$240))</f>
        <v>0</v>
      </c>
      <c r="H267" s="81">
        <f t="array" ref="H267">SUM(distribution.outgoing.voice.by.destination*(offers.segment.all=$C267)*(TRANSPOSE(voice.destination.domestic)=H$240))</f>
        <v>0</v>
      </c>
      <c r="I267" s="81">
        <f t="array" ref="I267">SUM(distribution.outgoing.voice.by.destination*(offers.segment.all=$C267)*(TRANSPOSE(voice.destination.domestic)=I$240))</f>
        <v>0</v>
      </c>
      <c r="J267" s="81">
        <f t="array" ref="J267">SUM(distribution.outgoing.voice.by.destination*(offers.segment.all=$C267)*(TRANSPOSE(voice.destination.domestic)=J$240))</f>
        <v>0</v>
      </c>
      <c r="K267" s="81">
        <f t="array" ref="K267">SUM(distribution.outgoing.voice.by.destination*(offers.segment.all=$C267)*(TRANSPOSE(voice.destination.domestic)=K$240))</f>
        <v>0</v>
      </c>
      <c r="L267" s="81">
        <f t="array" ref="L267">SUM(distribution.outgoing.voice.by.destination*(offers.segment.all=$C267)*(TRANSPOSE(voice.destination.domestic)=L$240))</f>
        <v>0</v>
      </c>
      <c r="O267" s="169">
        <f t="shared" si="44"/>
        <v>0</v>
      </c>
      <c r="P267" s="103">
        <v>0</v>
      </c>
      <c r="Q267" s="169">
        <f t="shared" si="45"/>
        <v>0</v>
      </c>
      <c r="R267" s="143"/>
      <c r="S267" s="143"/>
      <c r="T267" s="143"/>
    </row>
    <row r="268" spans="3:20" ht="12" hidden="1" customHeight="1" outlineLevel="2">
      <c r="C268" s="73" t="str">
        <v>SpareOfferC28</v>
      </c>
      <c r="E268" t="s">
        <v>163</v>
      </c>
      <c r="G268" s="81">
        <f t="array" ref="G268">SUM(distribution.outgoing.voice.by.destination*(offers.segment.all=$C268)*(TRANSPOSE(voice.destination.domestic)=G$240))</f>
        <v>0</v>
      </c>
      <c r="H268" s="81">
        <f t="array" ref="H268">SUM(distribution.outgoing.voice.by.destination*(offers.segment.all=$C268)*(TRANSPOSE(voice.destination.domestic)=H$240))</f>
        <v>0</v>
      </c>
      <c r="I268" s="81">
        <f t="array" ref="I268">SUM(distribution.outgoing.voice.by.destination*(offers.segment.all=$C268)*(TRANSPOSE(voice.destination.domestic)=I$240))</f>
        <v>0</v>
      </c>
      <c r="J268" s="81">
        <f t="array" ref="J268">SUM(distribution.outgoing.voice.by.destination*(offers.segment.all=$C268)*(TRANSPOSE(voice.destination.domestic)=J$240))</f>
        <v>0</v>
      </c>
      <c r="K268" s="81">
        <f t="array" ref="K268">SUM(distribution.outgoing.voice.by.destination*(offers.segment.all=$C268)*(TRANSPOSE(voice.destination.domestic)=K$240))</f>
        <v>0</v>
      </c>
      <c r="L268" s="81">
        <f t="array" ref="L268">SUM(distribution.outgoing.voice.by.destination*(offers.segment.all=$C268)*(TRANSPOSE(voice.destination.domestic)=L$240))</f>
        <v>0</v>
      </c>
      <c r="O268" s="169">
        <f t="shared" si="44"/>
        <v>0</v>
      </c>
      <c r="P268" s="103">
        <v>0</v>
      </c>
      <c r="Q268" s="169">
        <f t="shared" si="45"/>
        <v>0</v>
      </c>
      <c r="R268" s="143"/>
      <c r="S268" s="143"/>
      <c r="T268" s="143"/>
    </row>
    <row r="269" spans="3:20" ht="12" hidden="1" customHeight="1" outlineLevel="2">
      <c r="C269" s="73" t="str">
        <v>SpareOfferC29</v>
      </c>
      <c r="E269" t="s">
        <v>163</v>
      </c>
      <c r="G269" s="81">
        <f t="array" ref="G269">SUM(distribution.outgoing.voice.by.destination*(offers.segment.all=$C269)*(TRANSPOSE(voice.destination.domestic)=G$240))</f>
        <v>0</v>
      </c>
      <c r="H269" s="81">
        <f t="array" ref="H269">SUM(distribution.outgoing.voice.by.destination*(offers.segment.all=$C269)*(TRANSPOSE(voice.destination.domestic)=H$240))</f>
        <v>0</v>
      </c>
      <c r="I269" s="81">
        <f t="array" ref="I269">SUM(distribution.outgoing.voice.by.destination*(offers.segment.all=$C269)*(TRANSPOSE(voice.destination.domestic)=I$240))</f>
        <v>0</v>
      </c>
      <c r="J269" s="81">
        <f t="array" ref="J269">SUM(distribution.outgoing.voice.by.destination*(offers.segment.all=$C269)*(TRANSPOSE(voice.destination.domestic)=J$240))</f>
        <v>0</v>
      </c>
      <c r="K269" s="81">
        <f t="array" ref="K269">SUM(distribution.outgoing.voice.by.destination*(offers.segment.all=$C269)*(TRANSPOSE(voice.destination.domestic)=K$240))</f>
        <v>0</v>
      </c>
      <c r="L269" s="81">
        <f t="array" ref="L269">SUM(distribution.outgoing.voice.by.destination*(offers.segment.all=$C269)*(TRANSPOSE(voice.destination.domestic)=L$240))</f>
        <v>0</v>
      </c>
      <c r="O269" s="169">
        <f t="shared" si="44"/>
        <v>0</v>
      </c>
      <c r="P269" s="103">
        <v>0</v>
      </c>
      <c r="Q269" s="169">
        <f t="shared" si="45"/>
        <v>0</v>
      </c>
      <c r="R269" s="143"/>
      <c r="S269" s="143"/>
      <c r="T269" s="143"/>
    </row>
    <row r="270" spans="3:20" ht="12" hidden="1" customHeight="1" outlineLevel="2">
      <c r="C270" s="73" t="str">
        <v>SpareOfferC30</v>
      </c>
      <c r="E270" t="s">
        <v>163</v>
      </c>
      <c r="G270" s="81">
        <f t="array" ref="G270">SUM(distribution.outgoing.voice.by.destination*(offers.segment.all=$C270)*(TRANSPOSE(voice.destination.domestic)=G$240))</f>
        <v>0</v>
      </c>
      <c r="H270" s="81">
        <f t="array" ref="H270">SUM(distribution.outgoing.voice.by.destination*(offers.segment.all=$C270)*(TRANSPOSE(voice.destination.domestic)=H$240))</f>
        <v>0</v>
      </c>
      <c r="I270" s="81">
        <f t="array" ref="I270">SUM(distribution.outgoing.voice.by.destination*(offers.segment.all=$C270)*(TRANSPOSE(voice.destination.domestic)=I$240))</f>
        <v>0</v>
      </c>
      <c r="J270" s="81">
        <f t="array" ref="J270">SUM(distribution.outgoing.voice.by.destination*(offers.segment.all=$C270)*(TRANSPOSE(voice.destination.domestic)=J$240))</f>
        <v>0</v>
      </c>
      <c r="K270" s="81">
        <f t="array" ref="K270">SUM(distribution.outgoing.voice.by.destination*(offers.segment.all=$C270)*(TRANSPOSE(voice.destination.domestic)=K$240))</f>
        <v>0</v>
      </c>
      <c r="L270" s="81">
        <f t="array" ref="L270">SUM(distribution.outgoing.voice.by.destination*(offers.segment.all=$C270)*(TRANSPOSE(voice.destination.domestic)=L$240))</f>
        <v>0</v>
      </c>
      <c r="O270" s="169">
        <f t="shared" si="44"/>
        <v>0</v>
      </c>
      <c r="P270" s="103">
        <v>0</v>
      </c>
      <c r="Q270" s="169">
        <f t="shared" si="45"/>
        <v>0</v>
      </c>
      <c r="R270" s="143"/>
      <c r="S270" s="143"/>
      <c r="T270" s="143"/>
    </row>
    <row r="271" spans="3:20" ht="12" hidden="1" customHeight="1" outlineLevel="2">
      <c r="C271" s="73" t="str">
        <v>SpareOfferC31</v>
      </c>
      <c r="E271" t="s">
        <v>163</v>
      </c>
      <c r="G271" s="81">
        <f t="array" ref="G271">SUM(distribution.outgoing.voice.by.destination*(offers.segment.all=$C271)*(TRANSPOSE(voice.destination.domestic)=G$240))</f>
        <v>0</v>
      </c>
      <c r="H271" s="81">
        <f t="array" ref="H271">SUM(distribution.outgoing.voice.by.destination*(offers.segment.all=$C271)*(TRANSPOSE(voice.destination.domestic)=H$240))</f>
        <v>0</v>
      </c>
      <c r="I271" s="81">
        <f t="array" ref="I271">SUM(distribution.outgoing.voice.by.destination*(offers.segment.all=$C271)*(TRANSPOSE(voice.destination.domestic)=I$240))</f>
        <v>0</v>
      </c>
      <c r="J271" s="81">
        <f t="array" ref="J271">SUM(distribution.outgoing.voice.by.destination*(offers.segment.all=$C271)*(TRANSPOSE(voice.destination.domestic)=J$240))</f>
        <v>0</v>
      </c>
      <c r="K271" s="81">
        <f t="array" ref="K271">SUM(distribution.outgoing.voice.by.destination*(offers.segment.all=$C271)*(TRANSPOSE(voice.destination.domestic)=K$240))</f>
        <v>0</v>
      </c>
      <c r="L271" s="81">
        <f t="array" ref="L271">SUM(distribution.outgoing.voice.by.destination*(offers.segment.all=$C271)*(TRANSPOSE(voice.destination.domestic)=L$240))</f>
        <v>0</v>
      </c>
      <c r="O271" s="169">
        <f t="shared" si="44"/>
        <v>0</v>
      </c>
      <c r="P271" s="103">
        <v>0</v>
      </c>
      <c r="Q271" s="169">
        <f t="shared" si="45"/>
        <v>0</v>
      </c>
      <c r="R271" s="143"/>
      <c r="S271" s="143"/>
      <c r="T271" s="143"/>
    </row>
    <row r="272" spans="3:20" ht="12" hidden="1" customHeight="1" outlineLevel="2">
      <c r="C272" s="73" t="str">
        <v>SpareOfferC32</v>
      </c>
      <c r="E272" t="s">
        <v>163</v>
      </c>
      <c r="G272" s="81">
        <f t="array" ref="G272">SUM(distribution.outgoing.voice.by.destination*(offers.segment.all=$C272)*(TRANSPOSE(voice.destination.domestic)=G$240))</f>
        <v>0</v>
      </c>
      <c r="H272" s="81">
        <f t="array" ref="H272">SUM(distribution.outgoing.voice.by.destination*(offers.segment.all=$C272)*(TRANSPOSE(voice.destination.domestic)=H$240))</f>
        <v>0</v>
      </c>
      <c r="I272" s="81">
        <f t="array" ref="I272">SUM(distribution.outgoing.voice.by.destination*(offers.segment.all=$C272)*(TRANSPOSE(voice.destination.domestic)=I$240))</f>
        <v>0</v>
      </c>
      <c r="J272" s="81">
        <f t="array" ref="J272">SUM(distribution.outgoing.voice.by.destination*(offers.segment.all=$C272)*(TRANSPOSE(voice.destination.domestic)=J$240))</f>
        <v>0</v>
      </c>
      <c r="K272" s="81">
        <f t="array" ref="K272">SUM(distribution.outgoing.voice.by.destination*(offers.segment.all=$C272)*(TRANSPOSE(voice.destination.domestic)=K$240))</f>
        <v>0</v>
      </c>
      <c r="L272" s="81">
        <f t="array" ref="L272">SUM(distribution.outgoing.voice.by.destination*(offers.segment.all=$C272)*(TRANSPOSE(voice.destination.domestic)=L$240))</f>
        <v>0</v>
      </c>
      <c r="O272" s="169">
        <f t="shared" si="44"/>
        <v>0</v>
      </c>
      <c r="P272" s="103">
        <v>0</v>
      </c>
      <c r="Q272" s="169">
        <f t="shared" si="45"/>
        <v>0</v>
      </c>
      <c r="R272" s="143"/>
      <c r="S272" s="143"/>
      <c r="T272" s="143"/>
    </row>
    <row r="273" spans="2:20" ht="12" hidden="1" customHeight="1" outlineLevel="2">
      <c r="C273" s="73" t="str">
        <v>SpareOfferC33</v>
      </c>
      <c r="E273" t="s">
        <v>163</v>
      </c>
      <c r="G273" s="81">
        <f t="array" ref="G273">SUM(distribution.outgoing.voice.by.destination*(offers.segment.all=$C273)*(TRANSPOSE(voice.destination.domestic)=G$240))</f>
        <v>0</v>
      </c>
      <c r="H273" s="81">
        <f t="array" ref="H273">SUM(distribution.outgoing.voice.by.destination*(offers.segment.all=$C273)*(TRANSPOSE(voice.destination.domestic)=H$240))</f>
        <v>0</v>
      </c>
      <c r="I273" s="81">
        <f t="array" ref="I273">SUM(distribution.outgoing.voice.by.destination*(offers.segment.all=$C273)*(TRANSPOSE(voice.destination.domestic)=I$240))</f>
        <v>0</v>
      </c>
      <c r="J273" s="81">
        <f t="array" ref="J273">SUM(distribution.outgoing.voice.by.destination*(offers.segment.all=$C273)*(TRANSPOSE(voice.destination.domestic)=J$240))</f>
        <v>0</v>
      </c>
      <c r="K273" s="81">
        <f t="array" ref="K273">SUM(distribution.outgoing.voice.by.destination*(offers.segment.all=$C273)*(TRANSPOSE(voice.destination.domestic)=K$240))</f>
        <v>0</v>
      </c>
      <c r="L273" s="81">
        <f t="array" ref="L273">SUM(distribution.outgoing.voice.by.destination*(offers.segment.all=$C273)*(TRANSPOSE(voice.destination.domestic)=L$240))</f>
        <v>0</v>
      </c>
      <c r="O273" s="169">
        <f t="shared" si="44"/>
        <v>0</v>
      </c>
      <c r="P273" s="103">
        <v>0</v>
      </c>
      <c r="Q273" s="169">
        <f t="shared" si="45"/>
        <v>0</v>
      </c>
      <c r="R273" s="143"/>
      <c r="S273" s="143"/>
      <c r="T273" s="143"/>
    </row>
    <row r="274" spans="2:20" ht="12" hidden="1" customHeight="1" outlineLevel="2">
      <c r="C274" s="73" t="str">
        <v>SpareOfferC34</v>
      </c>
      <c r="E274" t="s">
        <v>163</v>
      </c>
      <c r="G274" s="81">
        <f t="array" ref="G274">SUM(distribution.outgoing.voice.by.destination*(offers.segment.all=$C274)*(TRANSPOSE(voice.destination.domestic)=G$240))</f>
        <v>0</v>
      </c>
      <c r="H274" s="81">
        <f t="array" ref="H274">SUM(distribution.outgoing.voice.by.destination*(offers.segment.all=$C274)*(TRANSPOSE(voice.destination.domestic)=H$240))</f>
        <v>0</v>
      </c>
      <c r="I274" s="81">
        <f t="array" ref="I274">SUM(distribution.outgoing.voice.by.destination*(offers.segment.all=$C274)*(TRANSPOSE(voice.destination.domestic)=I$240))</f>
        <v>0</v>
      </c>
      <c r="J274" s="81">
        <f t="array" ref="J274">SUM(distribution.outgoing.voice.by.destination*(offers.segment.all=$C274)*(TRANSPOSE(voice.destination.domestic)=J$240))</f>
        <v>0</v>
      </c>
      <c r="K274" s="81">
        <f t="array" ref="K274">SUM(distribution.outgoing.voice.by.destination*(offers.segment.all=$C274)*(TRANSPOSE(voice.destination.domestic)=K$240))</f>
        <v>0</v>
      </c>
      <c r="L274" s="81">
        <f t="array" ref="L274">SUM(distribution.outgoing.voice.by.destination*(offers.segment.all=$C274)*(TRANSPOSE(voice.destination.domestic)=L$240))</f>
        <v>0</v>
      </c>
      <c r="O274" s="169">
        <f t="shared" si="44"/>
        <v>0</v>
      </c>
      <c r="P274" s="103">
        <v>0</v>
      </c>
      <c r="Q274" s="169">
        <f t="shared" si="45"/>
        <v>0</v>
      </c>
      <c r="R274" s="143"/>
      <c r="S274" s="143"/>
      <c r="T274" s="143"/>
    </row>
    <row r="275" spans="2:20" outlineLevel="1" collapsed="1">
      <c r="C275" s="73" t="str">
        <v>SpareOfferC35</v>
      </c>
      <c r="E275" t="s">
        <v>163</v>
      </c>
      <c r="G275" s="81">
        <f t="array" ref="G275">SUM(distribution.outgoing.voice.by.destination*(offers.segment.all=$C275)*(TRANSPOSE(voice.destination.domestic)=G$240))</f>
        <v>0</v>
      </c>
      <c r="H275" s="81">
        <f t="array" ref="H275">SUM(distribution.outgoing.voice.by.destination*(offers.segment.all=$C275)*(TRANSPOSE(voice.destination.domestic)=H$240))</f>
        <v>0</v>
      </c>
      <c r="I275" s="81">
        <f t="array" ref="I275">SUM(distribution.outgoing.voice.by.destination*(offers.segment.all=$C275)*(TRANSPOSE(voice.destination.domestic)=I$240))</f>
        <v>0</v>
      </c>
      <c r="J275" s="81">
        <f t="array" ref="J275">SUM(distribution.outgoing.voice.by.destination*(offers.segment.all=$C275)*(TRANSPOSE(voice.destination.domestic)=J$240))</f>
        <v>0</v>
      </c>
      <c r="K275" s="81">
        <f t="array" ref="K275">SUM(distribution.outgoing.voice.by.destination*(offers.segment.all=$C275)*(TRANSPOSE(voice.destination.domestic)=K$240))</f>
        <v>0</v>
      </c>
      <c r="L275" s="81">
        <f t="array" ref="L275">SUM(distribution.outgoing.voice.by.destination*(offers.segment.all=$C275)*(TRANSPOSE(voice.destination.domestic)=L$240))</f>
        <v>0</v>
      </c>
      <c r="O275" s="169">
        <f t="shared" si="44"/>
        <v>0</v>
      </c>
      <c r="P275" s="103">
        <v>0</v>
      </c>
      <c r="Q275" s="169">
        <f t="shared" si="45"/>
        <v>0</v>
      </c>
      <c r="R275" s="143"/>
      <c r="S275" s="143"/>
      <c r="T275" s="143"/>
    </row>
    <row r="276" spans="2:20" outlineLevel="1"/>
    <row r="277" spans="2:20" ht="12" customHeight="1" outlineLevel="1">
      <c r="C277" s="91" t="s">
        <v>485</v>
      </c>
      <c r="G277" s="66" t="s">
        <v>308</v>
      </c>
      <c r="H277" s="66"/>
      <c r="I277" s="66"/>
      <c r="J277" s="66"/>
      <c r="K277" s="66"/>
      <c r="L277" s="66"/>
      <c r="O277" s="66" t="s">
        <v>161</v>
      </c>
      <c r="P277" s="66"/>
      <c r="Q277" s="66"/>
      <c r="S277" s="66" t="s">
        <v>177</v>
      </c>
      <c r="T277" s="66"/>
    </row>
    <row r="278" spans="2:20" ht="23" outlineLevel="1">
      <c r="C278" s="1" t="s">
        <v>309</v>
      </c>
      <c r="G278" s="95" t="str">
        <f t="array" ref="G278:L278">options.selected.basic</f>
        <v>National voice</v>
      </c>
      <c r="H278" s="95" t="str">
        <v>International voice</v>
      </c>
      <c r="I278" s="95" t="str">
        <v>National SMS</v>
      </c>
      <c r="J278" s="95" t="str">
        <v>International SMS</v>
      </c>
      <c r="K278" s="95" t="str">
        <v>National data</v>
      </c>
      <c r="L278" s="95" t="str">
        <v>Spare 1</v>
      </c>
      <c r="O278" s="95" t="str">
        <f t="array" ref="O278:Q278">options.selected.VAS</f>
        <v>VAS minutes</v>
      </c>
      <c r="P278" s="95" t="str">
        <v>VAS BankID</v>
      </c>
      <c r="Q278" s="95" t="str">
        <v>Other VAS messages</v>
      </c>
      <c r="S278" s="95" t="str">
        <f t="array" ref="S278:T278">options.selected.termination</f>
        <v>Voice termination</v>
      </c>
      <c r="T278" s="95" t="str">
        <v>Message termination</v>
      </c>
    </row>
    <row r="279" spans="2:20" outlineLevel="1">
      <c r="B279">
        <f t="shared" ref="B279:B313" si="46">MATCH(C279,offers.segment.all,0)</f>
        <v>71</v>
      </c>
      <c r="C279" s="73" t="str">
        <f t="array" ref="C279:C313">offers.segment.3</f>
        <v>SpareOfferC1</v>
      </c>
      <c r="G279" s="101">
        <f t="shared" ref="G279:L288" si="47">INDEX(per.sub.volumes.by.demand.descriptions,$B279,MATCH(G$278,demand.descriptions.short,0))</f>
        <v>0</v>
      </c>
      <c r="H279" s="101">
        <f t="shared" si="47"/>
        <v>0</v>
      </c>
      <c r="I279" s="101">
        <f t="shared" si="47"/>
        <v>0</v>
      </c>
      <c r="J279" s="101">
        <f t="shared" si="47"/>
        <v>0</v>
      </c>
      <c r="K279" s="101">
        <f t="shared" si="47"/>
        <v>0</v>
      </c>
      <c r="L279" s="101">
        <f t="shared" si="47"/>
        <v>0</v>
      </c>
      <c r="O279" s="101">
        <f t="shared" ref="O279:Q298" si="48">INDEX(per.sub.volumes.by.demand.descriptions,$B279,MATCH(O$278,demand.descriptions.short,0))</f>
        <v>0</v>
      </c>
      <c r="P279" s="101">
        <f t="shared" si="48"/>
        <v>0</v>
      </c>
      <c r="Q279" s="101">
        <f t="shared" si="48"/>
        <v>0</v>
      </c>
      <c r="S279" s="101">
        <f t="shared" ref="S279:T298" si="49">INDEX(per.sub.volumes.by.demand.descriptions,$B279,MATCH(S$278,demand.descriptions.short,0))</f>
        <v>0</v>
      </c>
      <c r="T279" s="101">
        <f t="shared" si="49"/>
        <v>0</v>
      </c>
    </row>
    <row r="280" spans="2:20" hidden="1" outlineLevel="2">
      <c r="B280">
        <f t="shared" si="46"/>
        <v>72</v>
      </c>
      <c r="C280" s="73" t="str">
        <v>SpareOfferC2</v>
      </c>
      <c r="G280" s="101">
        <f t="shared" si="47"/>
        <v>0</v>
      </c>
      <c r="H280" s="101">
        <f t="shared" si="47"/>
        <v>0</v>
      </c>
      <c r="I280" s="101">
        <f t="shared" si="47"/>
        <v>0</v>
      </c>
      <c r="J280" s="101">
        <f t="shared" si="47"/>
        <v>0</v>
      </c>
      <c r="K280" s="101">
        <f t="shared" si="47"/>
        <v>0</v>
      </c>
      <c r="L280" s="101">
        <f t="shared" si="47"/>
        <v>0</v>
      </c>
      <c r="O280" s="101">
        <f t="shared" si="48"/>
        <v>0</v>
      </c>
      <c r="P280" s="101">
        <f t="shared" si="48"/>
        <v>0</v>
      </c>
      <c r="Q280" s="101">
        <f t="shared" si="48"/>
        <v>0</v>
      </c>
      <c r="S280" s="101">
        <f t="shared" si="49"/>
        <v>0</v>
      </c>
      <c r="T280" s="101">
        <f t="shared" si="49"/>
        <v>0</v>
      </c>
    </row>
    <row r="281" spans="2:20" hidden="1" outlineLevel="2">
      <c r="B281">
        <f t="shared" si="46"/>
        <v>73</v>
      </c>
      <c r="C281" s="73" t="str">
        <v>SpareOfferC3</v>
      </c>
      <c r="G281" s="101">
        <f t="shared" si="47"/>
        <v>0</v>
      </c>
      <c r="H281" s="101">
        <f t="shared" si="47"/>
        <v>0</v>
      </c>
      <c r="I281" s="101">
        <f t="shared" si="47"/>
        <v>0</v>
      </c>
      <c r="J281" s="101">
        <f t="shared" si="47"/>
        <v>0</v>
      </c>
      <c r="K281" s="101">
        <f t="shared" si="47"/>
        <v>0</v>
      </c>
      <c r="L281" s="101">
        <f t="shared" si="47"/>
        <v>0</v>
      </c>
      <c r="O281" s="101">
        <f t="shared" si="48"/>
        <v>0</v>
      </c>
      <c r="P281" s="101">
        <f t="shared" si="48"/>
        <v>0</v>
      </c>
      <c r="Q281" s="101">
        <f t="shared" si="48"/>
        <v>0</v>
      </c>
      <c r="S281" s="101">
        <f t="shared" si="49"/>
        <v>0</v>
      </c>
      <c r="T281" s="101">
        <f t="shared" si="49"/>
        <v>0</v>
      </c>
    </row>
    <row r="282" spans="2:20" hidden="1" outlineLevel="2">
      <c r="B282">
        <f t="shared" si="46"/>
        <v>74</v>
      </c>
      <c r="C282" s="73" t="str">
        <v>SpareOfferC4</v>
      </c>
      <c r="G282" s="101">
        <f t="shared" si="47"/>
        <v>0</v>
      </c>
      <c r="H282" s="101">
        <f t="shared" si="47"/>
        <v>0</v>
      </c>
      <c r="I282" s="101">
        <f t="shared" si="47"/>
        <v>0</v>
      </c>
      <c r="J282" s="101">
        <f t="shared" si="47"/>
        <v>0</v>
      </c>
      <c r="K282" s="101">
        <f t="shared" si="47"/>
        <v>0</v>
      </c>
      <c r="L282" s="101">
        <f t="shared" si="47"/>
        <v>0</v>
      </c>
      <c r="O282" s="101">
        <f t="shared" si="48"/>
        <v>0</v>
      </c>
      <c r="P282" s="101">
        <f t="shared" si="48"/>
        <v>0</v>
      </c>
      <c r="Q282" s="101">
        <f t="shared" si="48"/>
        <v>0</v>
      </c>
      <c r="S282" s="101">
        <f t="shared" si="49"/>
        <v>0</v>
      </c>
      <c r="T282" s="101">
        <f t="shared" si="49"/>
        <v>0</v>
      </c>
    </row>
    <row r="283" spans="2:20" hidden="1" outlineLevel="2">
      <c r="B283">
        <f t="shared" si="46"/>
        <v>75</v>
      </c>
      <c r="C283" s="73" t="str">
        <v>SpareOfferC5</v>
      </c>
      <c r="G283" s="101">
        <f t="shared" si="47"/>
        <v>0</v>
      </c>
      <c r="H283" s="101">
        <f t="shared" si="47"/>
        <v>0</v>
      </c>
      <c r="I283" s="101">
        <f t="shared" si="47"/>
        <v>0</v>
      </c>
      <c r="J283" s="101">
        <f t="shared" si="47"/>
        <v>0</v>
      </c>
      <c r="K283" s="101">
        <f t="shared" si="47"/>
        <v>0</v>
      </c>
      <c r="L283" s="101">
        <f t="shared" si="47"/>
        <v>0</v>
      </c>
      <c r="O283" s="101">
        <f t="shared" si="48"/>
        <v>0</v>
      </c>
      <c r="P283" s="101">
        <f t="shared" si="48"/>
        <v>0</v>
      </c>
      <c r="Q283" s="101">
        <f t="shared" si="48"/>
        <v>0</v>
      </c>
      <c r="S283" s="101">
        <f t="shared" si="49"/>
        <v>0</v>
      </c>
      <c r="T283" s="101">
        <f t="shared" si="49"/>
        <v>0</v>
      </c>
    </row>
    <row r="284" spans="2:20" hidden="1" outlineLevel="2">
      <c r="B284">
        <f t="shared" si="46"/>
        <v>76</v>
      </c>
      <c r="C284" s="73" t="str">
        <v>SpareOfferC6</v>
      </c>
      <c r="G284" s="101">
        <f t="shared" si="47"/>
        <v>0</v>
      </c>
      <c r="H284" s="101">
        <f t="shared" si="47"/>
        <v>0</v>
      </c>
      <c r="I284" s="101">
        <f t="shared" si="47"/>
        <v>0</v>
      </c>
      <c r="J284" s="101">
        <f t="shared" si="47"/>
        <v>0</v>
      </c>
      <c r="K284" s="101">
        <f t="shared" si="47"/>
        <v>0</v>
      </c>
      <c r="L284" s="101">
        <f t="shared" si="47"/>
        <v>0</v>
      </c>
      <c r="O284" s="101">
        <f t="shared" si="48"/>
        <v>0</v>
      </c>
      <c r="P284" s="101">
        <f t="shared" si="48"/>
        <v>0</v>
      </c>
      <c r="Q284" s="101">
        <f t="shared" si="48"/>
        <v>0</v>
      </c>
      <c r="S284" s="101">
        <f t="shared" si="49"/>
        <v>0</v>
      </c>
      <c r="T284" s="101">
        <f t="shared" si="49"/>
        <v>0</v>
      </c>
    </row>
    <row r="285" spans="2:20" hidden="1" outlineLevel="2">
      <c r="B285">
        <f t="shared" si="46"/>
        <v>77</v>
      </c>
      <c r="C285" s="73" t="str">
        <v>SpareOfferC7</v>
      </c>
      <c r="G285" s="101">
        <f t="shared" si="47"/>
        <v>0</v>
      </c>
      <c r="H285" s="101">
        <f t="shared" si="47"/>
        <v>0</v>
      </c>
      <c r="I285" s="101">
        <f t="shared" si="47"/>
        <v>0</v>
      </c>
      <c r="J285" s="101">
        <f t="shared" si="47"/>
        <v>0</v>
      </c>
      <c r="K285" s="101">
        <f t="shared" si="47"/>
        <v>0</v>
      </c>
      <c r="L285" s="101">
        <f t="shared" si="47"/>
        <v>0</v>
      </c>
      <c r="O285" s="101">
        <f t="shared" si="48"/>
        <v>0</v>
      </c>
      <c r="P285" s="101">
        <f t="shared" si="48"/>
        <v>0</v>
      </c>
      <c r="Q285" s="101">
        <f t="shared" si="48"/>
        <v>0</v>
      </c>
      <c r="S285" s="101">
        <f t="shared" si="49"/>
        <v>0</v>
      </c>
      <c r="T285" s="101">
        <f t="shared" si="49"/>
        <v>0</v>
      </c>
    </row>
    <row r="286" spans="2:20" hidden="1" outlineLevel="2">
      <c r="B286">
        <f t="shared" si="46"/>
        <v>78</v>
      </c>
      <c r="C286" s="73" t="str">
        <v>SpareOfferC8</v>
      </c>
      <c r="G286" s="101">
        <f t="shared" si="47"/>
        <v>0</v>
      </c>
      <c r="H286" s="101">
        <f t="shared" si="47"/>
        <v>0</v>
      </c>
      <c r="I286" s="101">
        <f t="shared" si="47"/>
        <v>0</v>
      </c>
      <c r="J286" s="101">
        <f t="shared" si="47"/>
        <v>0</v>
      </c>
      <c r="K286" s="101">
        <f t="shared" si="47"/>
        <v>0</v>
      </c>
      <c r="L286" s="101">
        <f t="shared" si="47"/>
        <v>0</v>
      </c>
      <c r="O286" s="101">
        <f t="shared" si="48"/>
        <v>0</v>
      </c>
      <c r="P286" s="101">
        <f t="shared" si="48"/>
        <v>0</v>
      </c>
      <c r="Q286" s="101">
        <f t="shared" si="48"/>
        <v>0</v>
      </c>
      <c r="S286" s="101">
        <f t="shared" si="49"/>
        <v>0</v>
      </c>
      <c r="T286" s="101">
        <f t="shared" si="49"/>
        <v>0</v>
      </c>
    </row>
    <row r="287" spans="2:20" hidden="1" outlineLevel="2">
      <c r="B287">
        <f t="shared" si="46"/>
        <v>79</v>
      </c>
      <c r="C287" s="73" t="str">
        <v>SpareOfferC9</v>
      </c>
      <c r="G287" s="101">
        <f t="shared" si="47"/>
        <v>0</v>
      </c>
      <c r="H287" s="101">
        <f t="shared" si="47"/>
        <v>0</v>
      </c>
      <c r="I287" s="101">
        <f t="shared" si="47"/>
        <v>0</v>
      </c>
      <c r="J287" s="101">
        <f t="shared" si="47"/>
        <v>0</v>
      </c>
      <c r="K287" s="101">
        <f t="shared" si="47"/>
        <v>0</v>
      </c>
      <c r="L287" s="101">
        <f t="shared" si="47"/>
        <v>0</v>
      </c>
      <c r="O287" s="101">
        <f t="shared" si="48"/>
        <v>0</v>
      </c>
      <c r="P287" s="101">
        <f t="shared" si="48"/>
        <v>0</v>
      </c>
      <c r="Q287" s="101">
        <f t="shared" si="48"/>
        <v>0</v>
      </c>
      <c r="S287" s="101">
        <f t="shared" si="49"/>
        <v>0</v>
      </c>
      <c r="T287" s="101">
        <f t="shared" si="49"/>
        <v>0</v>
      </c>
    </row>
    <row r="288" spans="2:20" hidden="1" outlineLevel="2">
      <c r="B288">
        <f t="shared" si="46"/>
        <v>80</v>
      </c>
      <c r="C288" s="73" t="str">
        <v>SpareOfferC10</v>
      </c>
      <c r="G288" s="101">
        <f t="shared" si="47"/>
        <v>0</v>
      </c>
      <c r="H288" s="101">
        <f t="shared" si="47"/>
        <v>0</v>
      </c>
      <c r="I288" s="101">
        <f t="shared" si="47"/>
        <v>0</v>
      </c>
      <c r="J288" s="101">
        <f t="shared" si="47"/>
        <v>0</v>
      </c>
      <c r="K288" s="101">
        <f t="shared" si="47"/>
        <v>0</v>
      </c>
      <c r="L288" s="101">
        <f t="shared" si="47"/>
        <v>0</v>
      </c>
      <c r="O288" s="101">
        <f t="shared" si="48"/>
        <v>0</v>
      </c>
      <c r="P288" s="101">
        <f t="shared" si="48"/>
        <v>0</v>
      </c>
      <c r="Q288" s="101">
        <f t="shared" si="48"/>
        <v>0</v>
      </c>
      <c r="S288" s="101">
        <f t="shared" si="49"/>
        <v>0</v>
      </c>
      <c r="T288" s="101">
        <f t="shared" si="49"/>
        <v>0</v>
      </c>
    </row>
    <row r="289" spans="2:20" hidden="1" outlineLevel="2">
      <c r="B289">
        <f t="shared" si="46"/>
        <v>81</v>
      </c>
      <c r="C289" s="73" t="str">
        <v>SpareOfferC11</v>
      </c>
      <c r="G289" s="101">
        <f t="shared" ref="G289:L298" si="50">INDEX(per.sub.volumes.by.demand.descriptions,$B289,MATCH(G$278,demand.descriptions.short,0))</f>
        <v>0</v>
      </c>
      <c r="H289" s="101">
        <f t="shared" si="50"/>
        <v>0</v>
      </c>
      <c r="I289" s="101">
        <f t="shared" si="50"/>
        <v>0</v>
      </c>
      <c r="J289" s="101">
        <f t="shared" si="50"/>
        <v>0</v>
      </c>
      <c r="K289" s="101">
        <f t="shared" si="50"/>
        <v>0</v>
      </c>
      <c r="L289" s="101">
        <f t="shared" si="50"/>
        <v>0</v>
      </c>
      <c r="O289" s="101">
        <f t="shared" si="48"/>
        <v>0</v>
      </c>
      <c r="P289" s="101">
        <f t="shared" si="48"/>
        <v>0</v>
      </c>
      <c r="Q289" s="101">
        <f t="shared" si="48"/>
        <v>0</v>
      </c>
      <c r="S289" s="101">
        <f t="shared" si="49"/>
        <v>0</v>
      </c>
      <c r="T289" s="101">
        <f t="shared" si="49"/>
        <v>0</v>
      </c>
    </row>
    <row r="290" spans="2:20" hidden="1" outlineLevel="2">
      <c r="B290">
        <f t="shared" si="46"/>
        <v>82</v>
      </c>
      <c r="C290" s="73" t="str">
        <v>SpareOfferC12</v>
      </c>
      <c r="G290" s="101">
        <f t="shared" si="50"/>
        <v>0</v>
      </c>
      <c r="H290" s="101">
        <f t="shared" si="50"/>
        <v>0</v>
      </c>
      <c r="I290" s="101">
        <f t="shared" si="50"/>
        <v>0</v>
      </c>
      <c r="J290" s="101">
        <f t="shared" si="50"/>
        <v>0</v>
      </c>
      <c r="K290" s="101">
        <f t="shared" si="50"/>
        <v>0</v>
      </c>
      <c r="L290" s="101">
        <f t="shared" si="50"/>
        <v>0</v>
      </c>
      <c r="O290" s="101">
        <f t="shared" si="48"/>
        <v>0</v>
      </c>
      <c r="P290" s="101">
        <f t="shared" si="48"/>
        <v>0</v>
      </c>
      <c r="Q290" s="101">
        <f t="shared" si="48"/>
        <v>0</v>
      </c>
      <c r="S290" s="101">
        <f t="shared" si="49"/>
        <v>0</v>
      </c>
      <c r="T290" s="101">
        <f t="shared" si="49"/>
        <v>0</v>
      </c>
    </row>
    <row r="291" spans="2:20" hidden="1" outlineLevel="2">
      <c r="B291">
        <f t="shared" si="46"/>
        <v>83</v>
      </c>
      <c r="C291" s="73" t="str">
        <v>SpareOfferC13</v>
      </c>
      <c r="G291" s="101">
        <f t="shared" si="50"/>
        <v>0</v>
      </c>
      <c r="H291" s="101">
        <f t="shared" si="50"/>
        <v>0</v>
      </c>
      <c r="I291" s="101">
        <f t="shared" si="50"/>
        <v>0</v>
      </c>
      <c r="J291" s="101">
        <f t="shared" si="50"/>
        <v>0</v>
      </c>
      <c r="K291" s="101">
        <f t="shared" si="50"/>
        <v>0</v>
      </c>
      <c r="L291" s="101">
        <f t="shared" si="50"/>
        <v>0</v>
      </c>
      <c r="O291" s="101">
        <f t="shared" si="48"/>
        <v>0</v>
      </c>
      <c r="P291" s="101">
        <f t="shared" si="48"/>
        <v>0</v>
      </c>
      <c r="Q291" s="101">
        <f t="shared" si="48"/>
        <v>0</v>
      </c>
      <c r="S291" s="101">
        <f t="shared" si="49"/>
        <v>0</v>
      </c>
      <c r="T291" s="101">
        <f t="shared" si="49"/>
        <v>0</v>
      </c>
    </row>
    <row r="292" spans="2:20" hidden="1" outlineLevel="2">
      <c r="B292">
        <f t="shared" si="46"/>
        <v>84</v>
      </c>
      <c r="C292" s="73" t="str">
        <v>SpareOfferC14</v>
      </c>
      <c r="G292" s="101">
        <f t="shared" si="50"/>
        <v>0</v>
      </c>
      <c r="H292" s="101">
        <f t="shared" si="50"/>
        <v>0</v>
      </c>
      <c r="I292" s="101">
        <f t="shared" si="50"/>
        <v>0</v>
      </c>
      <c r="J292" s="101">
        <f t="shared" si="50"/>
        <v>0</v>
      </c>
      <c r="K292" s="101">
        <f t="shared" si="50"/>
        <v>0</v>
      </c>
      <c r="L292" s="101">
        <f t="shared" si="50"/>
        <v>0</v>
      </c>
      <c r="O292" s="101">
        <f t="shared" si="48"/>
        <v>0</v>
      </c>
      <c r="P292" s="101">
        <f t="shared" si="48"/>
        <v>0</v>
      </c>
      <c r="Q292" s="101">
        <f t="shared" si="48"/>
        <v>0</v>
      </c>
      <c r="S292" s="101">
        <f t="shared" si="49"/>
        <v>0</v>
      </c>
      <c r="T292" s="101">
        <f t="shared" si="49"/>
        <v>0</v>
      </c>
    </row>
    <row r="293" spans="2:20" hidden="1" outlineLevel="2">
      <c r="B293">
        <f t="shared" si="46"/>
        <v>85</v>
      </c>
      <c r="C293" s="73" t="str">
        <v>SpareOfferC15</v>
      </c>
      <c r="G293" s="101">
        <f t="shared" si="50"/>
        <v>0</v>
      </c>
      <c r="H293" s="101">
        <f t="shared" si="50"/>
        <v>0</v>
      </c>
      <c r="I293" s="101">
        <f t="shared" si="50"/>
        <v>0</v>
      </c>
      <c r="J293" s="101">
        <f t="shared" si="50"/>
        <v>0</v>
      </c>
      <c r="K293" s="101">
        <f t="shared" si="50"/>
        <v>0</v>
      </c>
      <c r="L293" s="101">
        <f t="shared" si="50"/>
        <v>0</v>
      </c>
      <c r="O293" s="101">
        <f t="shared" si="48"/>
        <v>0</v>
      </c>
      <c r="P293" s="101">
        <f t="shared" si="48"/>
        <v>0</v>
      </c>
      <c r="Q293" s="101">
        <f t="shared" si="48"/>
        <v>0</v>
      </c>
      <c r="S293" s="101">
        <f t="shared" si="49"/>
        <v>0</v>
      </c>
      <c r="T293" s="101">
        <f t="shared" si="49"/>
        <v>0</v>
      </c>
    </row>
    <row r="294" spans="2:20" hidden="1" outlineLevel="2">
      <c r="B294">
        <f t="shared" si="46"/>
        <v>86</v>
      </c>
      <c r="C294" s="73" t="str">
        <v>SpareOfferC16</v>
      </c>
      <c r="G294" s="101">
        <f t="shared" si="50"/>
        <v>0</v>
      </c>
      <c r="H294" s="101">
        <f t="shared" si="50"/>
        <v>0</v>
      </c>
      <c r="I294" s="101">
        <f t="shared" si="50"/>
        <v>0</v>
      </c>
      <c r="J294" s="101">
        <f t="shared" si="50"/>
        <v>0</v>
      </c>
      <c r="K294" s="101">
        <f t="shared" si="50"/>
        <v>0</v>
      </c>
      <c r="L294" s="101">
        <f t="shared" si="50"/>
        <v>0</v>
      </c>
      <c r="O294" s="101">
        <f t="shared" si="48"/>
        <v>0</v>
      </c>
      <c r="P294" s="101">
        <f t="shared" si="48"/>
        <v>0</v>
      </c>
      <c r="Q294" s="101">
        <f t="shared" si="48"/>
        <v>0</v>
      </c>
      <c r="S294" s="101">
        <f t="shared" si="49"/>
        <v>0</v>
      </c>
      <c r="T294" s="101">
        <f t="shared" si="49"/>
        <v>0</v>
      </c>
    </row>
    <row r="295" spans="2:20" hidden="1" outlineLevel="2">
      <c r="B295">
        <f t="shared" si="46"/>
        <v>87</v>
      </c>
      <c r="C295" s="73" t="str">
        <v>SpareOfferC17</v>
      </c>
      <c r="G295" s="101">
        <f t="shared" si="50"/>
        <v>0</v>
      </c>
      <c r="H295" s="101">
        <f t="shared" si="50"/>
        <v>0</v>
      </c>
      <c r="I295" s="101">
        <f t="shared" si="50"/>
        <v>0</v>
      </c>
      <c r="J295" s="101">
        <f t="shared" si="50"/>
        <v>0</v>
      </c>
      <c r="K295" s="101">
        <f t="shared" si="50"/>
        <v>0</v>
      </c>
      <c r="L295" s="101">
        <f t="shared" si="50"/>
        <v>0</v>
      </c>
      <c r="O295" s="101">
        <f t="shared" si="48"/>
        <v>0</v>
      </c>
      <c r="P295" s="101">
        <f t="shared" si="48"/>
        <v>0</v>
      </c>
      <c r="Q295" s="101">
        <f t="shared" si="48"/>
        <v>0</v>
      </c>
      <c r="S295" s="101">
        <f t="shared" si="49"/>
        <v>0</v>
      </c>
      <c r="T295" s="101">
        <f t="shared" si="49"/>
        <v>0</v>
      </c>
    </row>
    <row r="296" spans="2:20" hidden="1" outlineLevel="2">
      <c r="B296">
        <f t="shared" si="46"/>
        <v>88</v>
      </c>
      <c r="C296" s="73" t="str">
        <v>SpareOfferC18</v>
      </c>
      <c r="G296" s="101">
        <f t="shared" si="50"/>
        <v>0</v>
      </c>
      <c r="H296" s="101">
        <f t="shared" si="50"/>
        <v>0</v>
      </c>
      <c r="I296" s="101">
        <f t="shared" si="50"/>
        <v>0</v>
      </c>
      <c r="J296" s="101">
        <f t="shared" si="50"/>
        <v>0</v>
      </c>
      <c r="K296" s="101">
        <f t="shared" si="50"/>
        <v>0</v>
      </c>
      <c r="L296" s="101">
        <f t="shared" si="50"/>
        <v>0</v>
      </c>
      <c r="O296" s="101">
        <f t="shared" si="48"/>
        <v>0</v>
      </c>
      <c r="P296" s="101">
        <f t="shared" si="48"/>
        <v>0</v>
      </c>
      <c r="Q296" s="101">
        <f t="shared" si="48"/>
        <v>0</v>
      </c>
      <c r="S296" s="101">
        <f t="shared" si="49"/>
        <v>0</v>
      </c>
      <c r="T296" s="101">
        <f t="shared" si="49"/>
        <v>0</v>
      </c>
    </row>
    <row r="297" spans="2:20" hidden="1" outlineLevel="2">
      <c r="B297">
        <f t="shared" si="46"/>
        <v>89</v>
      </c>
      <c r="C297" s="73" t="str">
        <v>SpareOfferC19</v>
      </c>
      <c r="G297" s="101">
        <f t="shared" si="50"/>
        <v>0</v>
      </c>
      <c r="H297" s="101">
        <f t="shared" si="50"/>
        <v>0</v>
      </c>
      <c r="I297" s="101">
        <f t="shared" si="50"/>
        <v>0</v>
      </c>
      <c r="J297" s="101">
        <f t="shared" si="50"/>
        <v>0</v>
      </c>
      <c r="K297" s="101">
        <f t="shared" si="50"/>
        <v>0</v>
      </c>
      <c r="L297" s="101">
        <f t="shared" si="50"/>
        <v>0</v>
      </c>
      <c r="O297" s="101">
        <f t="shared" si="48"/>
        <v>0</v>
      </c>
      <c r="P297" s="101">
        <f t="shared" si="48"/>
        <v>0</v>
      </c>
      <c r="Q297" s="101">
        <f t="shared" si="48"/>
        <v>0</v>
      </c>
      <c r="S297" s="101">
        <f t="shared" si="49"/>
        <v>0</v>
      </c>
      <c r="T297" s="101">
        <f t="shared" si="49"/>
        <v>0</v>
      </c>
    </row>
    <row r="298" spans="2:20" hidden="1" outlineLevel="2">
      <c r="B298">
        <f t="shared" si="46"/>
        <v>90</v>
      </c>
      <c r="C298" s="73" t="str">
        <v>SpareOfferC20</v>
      </c>
      <c r="G298" s="101">
        <f t="shared" si="50"/>
        <v>0</v>
      </c>
      <c r="H298" s="101">
        <f t="shared" si="50"/>
        <v>0</v>
      </c>
      <c r="I298" s="101">
        <f t="shared" si="50"/>
        <v>0</v>
      </c>
      <c r="J298" s="101">
        <f t="shared" si="50"/>
        <v>0</v>
      </c>
      <c r="K298" s="101">
        <f t="shared" si="50"/>
        <v>0</v>
      </c>
      <c r="L298" s="101">
        <f t="shared" si="50"/>
        <v>0</v>
      </c>
      <c r="O298" s="101">
        <f t="shared" si="48"/>
        <v>0</v>
      </c>
      <c r="P298" s="101">
        <f t="shared" si="48"/>
        <v>0</v>
      </c>
      <c r="Q298" s="101">
        <f t="shared" si="48"/>
        <v>0</v>
      </c>
      <c r="S298" s="101">
        <f t="shared" si="49"/>
        <v>0</v>
      </c>
      <c r="T298" s="101">
        <f t="shared" si="49"/>
        <v>0</v>
      </c>
    </row>
    <row r="299" spans="2:20" hidden="1" outlineLevel="2">
      <c r="B299">
        <f t="shared" si="46"/>
        <v>91</v>
      </c>
      <c r="C299" s="73" t="str">
        <v>SpareOfferC21</v>
      </c>
      <c r="G299" s="101">
        <f t="shared" ref="G299:L313" si="51">INDEX(per.sub.volumes.by.demand.descriptions,$B299,MATCH(G$278,demand.descriptions.short,0))</f>
        <v>0</v>
      </c>
      <c r="H299" s="101">
        <f t="shared" si="51"/>
        <v>0</v>
      </c>
      <c r="I299" s="101">
        <f t="shared" si="51"/>
        <v>0</v>
      </c>
      <c r="J299" s="101">
        <f t="shared" si="51"/>
        <v>0</v>
      </c>
      <c r="K299" s="101">
        <f t="shared" si="51"/>
        <v>0</v>
      </c>
      <c r="L299" s="101">
        <f t="shared" si="51"/>
        <v>0</v>
      </c>
      <c r="O299" s="101">
        <f t="shared" ref="O299:Q313" si="52">INDEX(per.sub.volumes.by.demand.descriptions,$B299,MATCH(O$278,demand.descriptions.short,0))</f>
        <v>0</v>
      </c>
      <c r="P299" s="101">
        <f t="shared" si="52"/>
        <v>0</v>
      </c>
      <c r="Q299" s="101">
        <f t="shared" si="52"/>
        <v>0</v>
      </c>
      <c r="S299" s="101">
        <f t="shared" ref="S299:T313" si="53">INDEX(per.sub.volumes.by.demand.descriptions,$B299,MATCH(S$278,demand.descriptions.short,0))</f>
        <v>0</v>
      </c>
      <c r="T299" s="101">
        <f t="shared" si="53"/>
        <v>0</v>
      </c>
    </row>
    <row r="300" spans="2:20" hidden="1" outlineLevel="2">
      <c r="B300">
        <f t="shared" si="46"/>
        <v>92</v>
      </c>
      <c r="C300" s="73" t="str">
        <v>SpareOfferC22</v>
      </c>
      <c r="G300" s="101">
        <f t="shared" si="51"/>
        <v>0</v>
      </c>
      <c r="H300" s="101">
        <f t="shared" si="51"/>
        <v>0</v>
      </c>
      <c r="I300" s="101">
        <f t="shared" si="51"/>
        <v>0</v>
      </c>
      <c r="J300" s="101">
        <f t="shared" si="51"/>
        <v>0</v>
      </c>
      <c r="K300" s="101">
        <f t="shared" si="51"/>
        <v>0</v>
      </c>
      <c r="L300" s="101">
        <f t="shared" si="51"/>
        <v>0</v>
      </c>
      <c r="O300" s="101">
        <f t="shared" si="52"/>
        <v>0</v>
      </c>
      <c r="P300" s="101">
        <f t="shared" si="52"/>
        <v>0</v>
      </c>
      <c r="Q300" s="101">
        <f t="shared" si="52"/>
        <v>0</v>
      </c>
      <c r="S300" s="101">
        <f t="shared" si="53"/>
        <v>0</v>
      </c>
      <c r="T300" s="101">
        <f t="shared" si="53"/>
        <v>0</v>
      </c>
    </row>
    <row r="301" spans="2:20" hidden="1" outlineLevel="2">
      <c r="B301">
        <f t="shared" si="46"/>
        <v>93</v>
      </c>
      <c r="C301" s="73" t="str">
        <v>SpareOfferC23</v>
      </c>
      <c r="G301" s="101">
        <f t="shared" si="51"/>
        <v>0</v>
      </c>
      <c r="H301" s="101">
        <f t="shared" si="51"/>
        <v>0</v>
      </c>
      <c r="I301" s="101">
        <f t="shared" si="51"/>
        <v>0</v>
      </c>
      <c r="J301" s="101">
        <f t="shared" si="51"/>
        <v>0</v>
      </c>
      <c r="K301" s="101">
        <f t="shared" si="51"/>
        <v>0</v>
      </c>
      <c r="L301" s="101">
        <f t="shared" si="51"/>
        <v>0</v>
      </c>
      <c r="O301" s="101">
        <f t="shared" si="52"/>
        <v>0</v>
      </c>
      <c r="P301" s="101">
        <f t="shared" si="52"/>
        <v>0</v>
      </c>
      <c r="Q301" s="101">
        <f t="shared" si="52"/>
        <v>0</v>
      </c>
      <c r="S301" s="101">
        <f t="shared" si="53"/>
        <v>0</v>
      </c>
      <c r="T301" s="101">
        <f t="shared" si="53"/>
        <v>0</v>
      </c>
    </row>
    <row r="302" spans="2:20" hidden="1" outlineLevel="2">
      <c r="B302">
        <f t="shared" si="46"/>
        <v>94</v>
      </c>
      <c r="C302" s="73" t="str">
        <v>SpareOfferC24</v>
      </c>
      <c r="G302" s="101">
        <f t="shared" si="51"/>
        <v>0</v>
      </c>
      <c r="H302" s="101">
        <f t="shared" si="51"/>
        <v>0</v>
      </c>
      <c r="I302" s="101">
        <f t="shared" si="51"/>
        <v>0</v>
      </c>
      <c r="J302" s="101">
        <f t="shared" si="51"/>
        <v>0</v>
      </c>
      <c r="K302" s="101">
        <f t="shared" si="51"/>
        <v>0</v>
      </c>
      <c r="L302" s="101">
        <f t="shared" si="51"/>
        <v>0</v>
      </c>
      <c r="O302" s="101">
        <f t="shared" si="52"/>
        <v>0</v>
      </c>
      <c r="P302" s="101">
        <f t="shared" si="52"/>
        <v>0</v>
      </c>
      <c r="Q302" s="101">
        <f t="shared" si="52"/>
        <v>0</v>
      </c>
      <c r="S302" s="101">
        <f t="shared" si="53"/>
        <v>0</v>
      </c>
      <c r="T302" s="101">
        <f t="shared" si="53"/>
        <v>0</v>
      </c>
    </row>
    <row r="303" spans="2:20" hidden="1" outlineLevel="2">
      <c r="B303">
        <f t="shared" si="46"/>
        <v>95</v>
      </c>
      <c r="C303" s="73" t="str">
        <v>SpareOfferC25</v>
      </c>
      <c r="G303" s="101">
        <f t="shared" si="51"/>
        <v>0</v>
      </c>
      <c r="H303" s="101">
        <f t="shared" si="51"/>
        <v>0</v>
      </c>
      <c r="I303" s="101">
        <f t="shared" si="51"/>
        <v>0</v>
      </c>
      <c r="J303" s="101">
        <f t="shared" si="51"/>
        <v>0</v>
      </c>
      <c r="K303" s="101">
        <f t="shared" si="51"/>
        <v>0</v>
      </c>
      <c r="L303" s="101">
        <f t="shared" si="51"/>
        <v>0</v>
      </c>
      <c r="O303" s="101">
        <f t="shared" si="52"/>
        <v>0</v>
      </c>
      <c r="P303" s="101">
        <f t="shared" si="52"/>
        <v>0</v>
      </c>
      <c r="Q303" s="101">
        <f t="shared" si="52"/>
        <v>0</v>
      </c>
      <c r="S303" s="101">
        <f t="shared" si="53"/>
        <v>0</v>
      </c>
      <c r="T303" s="101">
        <f t="shared" si="53"/>
        <v>0</v>
      </c>
    </row>
    <row r="304" spans="2:20" hidden="1" outlineLevel="2">
      <c r="B304">
        <f t="shared" si="46"/>
        <v>96</v>
      </c>
      <c r="C304" s="73" t="str">
        <v>SpareOfferC26</v>
      </c>
      <c r="G304" s="101">
        <f t="shared" si="51"/>
        <v>0</v>
      </c>
      <c r="H304" s="101">
        <f t="shared" si="51"/>
        <v>0</v>
      </c>
      <c r="I304" s="101">
        <f t="shared" si="51"/>
        <v>0</v>
      </c>
      <c r="J304" s="101">
        <f t="shared" si="51"/>
        <v>0</v>
      </c>
      <c r="K304" s="101">
        <f t="shared" si="51"/>
        <v>0</v>
      </c>
      <c r="L304" s="101">
        <f t="shared" si="51"/>
        <v>0</v>
      </c>
      <c r="O304" s="101">
        <f t="shared" si="52"/>
        <v>0</v>
      </c>
      <c r="P304" s="101">
        <f t="shared" si="52"/>
        <v>0</v>
      </c>
      <c r="Q304" s="101">
        <f t="shared" si="52"/>
        <v>0</v>
      </c>
      <c r="S304" s="101">
        <f t="shared" si="53"/>
        <v>0</v>
      </c>
      <c r="T304" s="101">
        <f t="shared" si="53"/>
        <v>0</v>
      </c>
    </row>
    <row r="305" spans="2:23" hidden="1" outlineLevel="2">
      <c r="B305">
        <f t="shared" si="46"/>
        <v>97</v>
      </c>
      <c r="C305" s="73" t="str">
        <v>SpareOfferC27</v>
      </c>
      <c r="G305" s="101">
        <f t="shared" si="51"/>
        <v>0</v>
      </c>
      <c r="H305" s="101">
        <f t="shared" si="51"/>
        <v>0</v>
      </c>
      <c r="I305" s="101">
        <f t="shared" si="51"/>
        <v>0</v>
      </c>
      <c r="J305" s="101">
        <f t="shared" si="51"/>
        <v>0</v>
      </c>
      <c r="K305" s="101">
        <f t="shared" si="51"/>
        <v>0</v>
      </c>
      <c r="L305" s="101">
        <f t="shared" si="51"/>
        <v>0</v>
      </c>
      <c r="O305" s="101">
        <f t="shared" si="52"/>
        <v>0</v>
      </c>
      <c r="P305" s="101">
        <f t="shared" si="52"/>
        <v>0</v>
      </c>
      <c r="Q305" s="101">
        <f t="shared" si="52"/>
        <v>0</v>
      </c>
      <c r="S305" s="101">
        <f t="shared" si="53"/>
        <v>0</v>
      </c>
      <c r="T305" s="101">
        <f t="shared" si="53"/>
        <v>0</v>
      </c>
    </row>
    <row r="306" spans="2:23" hidden="1" outlineLevel="2">
      <c r="B306">
        <f t="shared" si="46"/>
        <v>98</v>
      </c>
      <c r="C306" s="73" t="str">
        <v>SpareOfferC28</v>
      </c>
      <c r="G306" s="101">
        <f t="shared" si="51"/>
        <v>0</v>
      </c>
      <c r="H306" s="101">
        <f t="shared" si="51"/>
        <v>0</v>
      </c>
      <c r="I306" s="101">
        <f t="shared" si="51"/>
        <v>0</v>
      </c>
      <c r="J306" s="101">
        <f t="shared" si="51"/>
        <v>0</v>
      </c>
      <c r="K306" s="101">
        <f t="shared" si="51"/>
        <v>0</v>
      </c>
      <c r="L306" s="101">
        <f t="shared" si="51"/>
        <v>0</v>
      </c>
      <c r="O306" s="101">
        <f t="shared" si="52"/>
        <v>0</v>
      </c>
      <c r="P306" s="101">
        <f t="shared" si="52"/>
        <v>0</v>
      </c>
      <c r="Q306" s="101">
        <f t="shared" si="52"/>
        <v>0</v>
      </c>
      <c r="S306" s="101">
        <f t="shared" si="53"/>
        <v>0</v>
      </c>
      <c r="T306" s="101">
        <f t="shared" si="53"/>
        <v>0</v>
      </c>
    </row>
    <row r="307" spans="2:23" hidden="1" outlineLevel="2">
      <c r="B307">
        <f t="shared" si="46"/>
        <v>99</v>
      </c>
      <c r="C307" s="73" t="str">
        <v>SpareOfferC29</v>
      </c>
      <c r="G307" s="101">
        <f t="shared" si="51"/>
        <v>0</v>
      </c>
      <c r="H307" s="101">
        <f t="shared" si="51"/>
        <v>0</v>
      </c>
      <c r="I307" s="101">
        <f t="shared" si="51"/>
        <v>0</v>
      </c>
      <c r="J307" s="101">
        <f t="shared" si="51"/>
        <v>0</v>
      </c>
      <c r="K307" s="101">
        <f t="shared" si="51"/>
        <v>0</v>
      </c>
      <c r="L307" s="101">
        <f t="shared" si="51"/>
        <v>0</v>
      </c>
      <c r="O307" s="101">
        <f t="shared" si="52"/>
        <v>0</v>
      </c>
      <c r="P307" s="101">
        <f t="shared" si="52"/>
        <v>0</v>
      </c>
      <c r="Q307" s="101">
        <f t="shared" si="52"/>
        <v>0</v>
      </c>
      <c r="S307" s="101">
        <f t="shared" si="53"/>
        <v>0</v>
      </c>
      <c r="T307" s="101">
        <f t="shared" si="53"/>
        <v>0</v>
      </c>
    </row>
    <row r="308" spans="2:23" hidden="1" outlineLevel="2">
      <c r="B308">
        <f t="shared" si="46"/>
        <v>100</v>
      </c>
      <c r="C308" s="73" t="str">
        <v>SpareOfferC30</v>
      </c>
      <c r="G308" s="101">
        <f t="shared" si="51"/>
        <v>0</v>
      </c>
      <c r="H308" s="101">
        <f t="shared" si="51"/>
        <v>0</v>
      </c>
      <c r="I308" s="101">
        <f t="shared" si="51"/>
        <v>0</v>
      </c>
      <c r="J308" s="101">
        <f t="shared" si="51"/>
        <v>0</v>
      </c>
      <c r="K308" s="101">
        <f t="shared" si="51"/>
        <v>0</v>
      </c>
      <c r="L308" s="101">
        <f t="shared" si="51"/>
        <v>0</v>
      </c>
      <c r="O308" s="101">
        <f t="shared" si="52"/>
        <v>0</v>
      </c>
      <c r="P308" s="101">
        <f t="shared" si="52"/>
        <v>0</v>
      </c>
      <c r="Q308" s="101">
        <f t="shared" si="52"/>
        <v>0</v>
      </c>
      <c r="S308" s="101">
        <f t="shared" si="53"/>
        <v>0</v>
      </c>
      <c r="T308" s="101">
        <f t="shared" si="53"/>
        <v>0</v>
      </c>
    </row>
    <row r="309" spans="2:23" hidden="1" outlineLevel="2">
      <c r="B309">
        <f t="shared" si="46"/>
        <v>101</v>
      </c>
      <c r="C309" s="73" t="str">
        <v>SpareOfferC31</v>
      </c>
      <c r="G309" s="101">
        <f t="shared" si="51"/>
        <v>0</v>
      </c>
      <c r="H309" s="101">
        <f t="shared" si="51"/>
        <v>0</v>
      </c>
      <c r="I309" s="101">
        <f t="shared" si="51"/>
        <v>0</v>
      </c>
      <c r="J309" s="101">
        <f t="shared" si="51"/>
        <v>0</v>
      </c>
      <c r="K309" s="101">
        <f t="shared" si="51"/>
        <v>0</v>
      </c>
      <c r="L309" s="101">
        <f t="shared" si="51"/>
        <v>0</v>
      </c>
      <c r="O309" s="101">
        <f t="shared" si="52"/>
        <v>0</v>
      </c>
      <c r="P309" s="101">
        <f t="shared" si="52"/>
        <v>0</v>
      </c>
      <c r="Q309" s="101">
        <f t="shared" si="52"/>
        <v>0</v>
      </c>
      <c r="S309" s="101">
        <f t="shared" si="53"/>
        <v>0</v>
      </c>
      <c r="T309" s="101">
        <f t="shared" si="53"/>
        <v>0</v>
      </c>
    </row>
    <row r="310" spans="2:23" hidden="1" outlineLevel="2">
      <c r="B310">
        <f t="shared" si="46"/>
        <v>102</v>
      </c>
      <c r="C310" s="73" t="str">
        <v>SpareOfferC32</v>
      </c>
      <c r="G310" s="101">
        <f t="shared" si="51"/>
        <v>0</v>
      </c>
      <c r="H310" s="101">
        <f t="shared" si="51"/>
        <v>0</v>
      </c>
      <c r="I310" s="101">
        <f t="shared" si="51"/>
        <v>0</v>
      </c>
      <c r="J310" s="101">
        <f t="shared" si="51"/>
        <v>0</v>
      </c>
      <c r="K310" s="101">
        <f t="shared" si="51"/>
        <v>0</v>
      </c>
      <c r="L310" s="101">
        <f t="shared" si="51"/>
        <v>0</v>
      </c>
      <c r="O310" s="101">
        <f t="shared" si="52"/>
        <v>0</v>
      </c>
      <c r="P310" s="101">
        <f t="shared" si="52"/>
        <v>0</v>
      </c>
      <c r="Q310" s="101">
        <f t="shared" si="52"/>
        <v>0</v>
      </c>
      <c r="S310" s="101">
        <f t="shared" si="53"/>
        <v>0</v>
      </c>
      <c r="T310" s="101">
        <f t="shared" si="53"/>
        <v>0</v>
      </c>
    </row>
    <row r="311" spans="2:23" hidden="1" outlineLevel="2">
      <c r="B311">
        <f t="shared" si="46"/>
        <v>103</v>
      </c>
      <c r="C311" s="73" t="str">
        <v>SpareOfferC33</v>
      </c>
      <c r="G311" s="101">
        <f t="shared" si="51"/>
        <v>0</v>
      </c>
      <c r="H311" s="101">
        <f t="shared" si="51"/>
        <v>0</v>
      </c>
      <c r="I311" s="101">
        <f t="shared" si="51"/>
        <v>0</v>
      </c>
      <c r="J311" s="101">
        <f t="shared" si="51"/>
        <v>0</v>
      </c>
      <c r="K311" s="101">
        <f t="shared" si="51"/>
        <v>0</v>
      </c>
      <c r="L311" s="101">
        <f t="shared" si="51"/>
        <v>0</v>
      </c>
      <c r="O311" s="101">
        <f t="shared" si="52"/>
        <v>0</v>
      </c>
      <c r="P311" s="101">
        <f t="shared" si="52"/>
        <v>0</v>
      </c>
      <c r="Q311" s="101">
        <f t="shared" si="52"/>
        <v>0</v>
      </c>
      <c r="S311" s="101">
        <f t="shared" si="53"/>
        <v>0</v>
      </c>
      <c r="T311" s="101">
        <f t="shared" si="53"/>
        <v>0</v>
      </c>
    </row>
    <row r="312" spans="2:23" hidden="1" outlineLevel="2">
      <c r="B312">
        <f t="shared" si="46"/>
        <v>104</v>
      </c>
      <c r="C312" s="73" t="str">
        <v>SpareOfferC34</v>
      </c>
      <c r="G312" s="101">
        <f t="shared" si="51"/>
        <v>0</v>
      </c>
      <c r="H312" s="101">
        <f t="shared" si="51"/>
        <v>0</v>
      </c>
      <c r="I312" s="101">
        <f t="shared" si="51"/>
        <v>0</v>
      </c>
      <c r="J312" s="101">
        <f t="shared" si="51"/>
        <v>0</v>
      </c>
      <c r="K312" s="101">
        <f t="shared" si="51"/>
        <v>0</v>
      </c>
      <c r="L312" s="101">
        <f t="shared" si="51"/>
        <v>0</v>
      </c>
      <c r="O312" s="101">
        <f t="shared" si="52"/>
        <v>0</v>
      </c>
      <c r="P312" s="101">
        <f t="shared" si="52"/>
        <v>0</v>
      </c>
      <c r="Q312" s="101">
        <f t="shared" si="52"/>
        <v>0</v>
      </c>
      <c r="S312" s="101">
        <f t="shared" si="53"/>
        <v>0</v>
      </c>
      <c r="T312" s="101">
        <f t="shared" si="53"/>
        <v>0</v>
      </c>
    </row>
    <row r="313" spans="2:23" outlineLevel="1" collapsed="1">
      <c r="B313">
        <f t="shared" si="46"/>
        <v>105</v>
      </c>
      <c r="C313" s="73" t="str">
        <v>SpareOfferC35</v>
      </c>
      <c r="G313" s="101">
        <f t="shared" si="51"/>
        <v>0</v>
      </c>
      <c r="H313" s="101">
        <f t="shared" si="51"/>
        <v>0</v>
      </c>
      <c r="I313" s="101">
        <f t="shared" si="51"/>
        <v>0</v>
      </c>
      <c r="J313" s="101">
        <f t="shared" si="51"/>
        <v>0</v>
      </c>
      <c r="K313" s="101">
        <f t="shared" si="51"/>
        <v>0</v>
      </c>
      <c r="L313" s="101">
        <f t="shared" si="51"/>
        <v>0</v>
      </c>
      <c r="O313" s="101">
        <f t="shared" si="52"/>
        <v>0</v>
      </c>
      <c r="P313" s="101">
        <f t="shared" si="52"/>
        <v>0</v>
      </c>
      <c r="Q313" s="101">
        <f t="shared" si="52"/>
        <v>0</v>
      </c>
      <c r="S313" s="101">
        <f t="shared" si="53"/>
        <v>0</v>
      </c>
      <c r="T313" s="101">
        <f t="shared" si="53"/>
        <v>0</v>
      </c>
    </row>
    <row r="314" spans="2:23" ht="12" outlineLevel="1">
      <c r="S314" s="43" t="s">
        <v>496</v>
      </c>
      <c r="T314" s="43" t="s">
        <v>497</v>
      </c>
    </row>
    <row r="315" spans="2:23" outlineLevel="1">
      <c r="C315" s="91" t="s">
        <v>224</v>
      </c>
    </row>
    <row r="316" spans="2:23" ht="34.5" outlineLevel="1">
      <c r="C316" s="1" t="s">
        <v>309</v>
      </c>
      <c r="F316" s="95" t="s">
        <v>225</v>
      </c>
      <c r="G316" s="95" t="str">
        <f t="array" ref="G316:L316">TRANSPOSE(voice.destination)</f>
        <v>On-net</v>
      </c>
      <c r="H316" s="95" t="str">
        <v>Off-net fixed</v>
      </c>
      <c r="I316" s="95" t="str">
        <v>Off-net mobile</v>
      </c>
      <c r="J316" s="95" t="str">
        <v>International</v>
      </c>
      <c r="K316" s="1" t="str">
        <v>VAS</v>
      </c>
      <c r="L316" s="1" t="str">
        <v>Not used</v>
      </c>
      <c r="N316" s="109" t="s">
        <v>226</v>
      </c>
      <c r="O316" s="95" t="s">
        <v>156</v>
      </c>
      <c r="P316" s="95" t="s">
        <v>157</v>
      </c>
      <c r="Q316" s="95" t="s">
        <v>158</v>
      </c>
      <c r="R316" s="95" t="s">
        <v>159</v>
      </c>
      <c r="S316" s="95" t="s">
        <v>414</v>
      </c>
      <c r="T316" s="95" t="s">
        <v>415</v>
      </c>
      <c r="V316" s="109" t="s">
        <v>166</v>
      </c>
      <c r="W316" s="111"/>
    </row>
    <row r="317" spans="2:23" outlineLevel="1">
      <c r="C317" s="73" t="str">
        <f t="array" ref="C317:C351">offers.segment.3</f>
        <v>SpareOfferC1</v>
      </c>
      <c r="F317" s="136">
        <f>SUM(G317:L317)</f>
        <v>0</v>
      </c>
      <c r="G317" s="167">
        <f t="shared" ref="G317:I336" si="54">$G279*G241</f>
        <v>0</v>
      </c>
      <c r="H317" s="167">
        <f t="shared" si="54"/>
        <v>0</v>
      </c>
      <c r="I317" s="167">
        <f t="shared" si="54"/>
        <v>0</v>
      </c>
      <c r="J317" s="206">
        <f t="shared" ref="J317:J351" si="55">H279</f>
        <v>0</v>
      </c>
      <c r="K317" s="101">
        <f t="shared" ref="K317:K351" si="56">O279</f>
        <v>0</v>
      </c>
      <c r="L317" s="143"/>
      <c r="N317" s="136">
        <f>SUM(O317:T317)</f>
        <v>0</v>
      </c>
      <c r="O317" s="167">
        <f t="shared" ref="O317:Q336" si="57">$I279*O241</f>
        <v>0</v>
      </c>
      <c r="P317" s="167">
        <f t="shared" si="57"/>
        <v>0</v>
      </c>
      <c r="Q317" s="167">
        <f t="shared" si="57"/>
        <v>0</v>
      </c>
      <c r="R317" s="206">
        <f t="shared" ref="R317:R351" si="58">J279</f>
        <v>0</v>
      </c>
      <c r="S317" s="144">
        <f t="shared" ref="S317:S351" si="59">P279</f>
        <v>0</v>
      </c>
      <c r="T317" s="144">
        <f t="shared" ref="T317:T351" si="60">Q279</f>
        <v>0</v>
      </c>
      <c r="V317" s="219">
        <f t="shared" ref="V317:V351" si="61">K279*(1+data.uplift.sensitivity)</f>
        <v>0</v>
      </c>
    </row>
    <row r="318" spans="2:23" hidden="1" outlineLevel="2">
      <c r="C318" s="73" t="str">
        <v>SpareOfferC2</v>
      </c>
      <c r="F318" s="136">
        <f t="shared" ref="F318:F351" si="62">SUM(G318:L318)</f>
        <v>0</v>
      </c>
      <c r="G318" s="167">
        <f t="shared" si="54"/>
        <v>0</v>
      </c>
      <c r="H318" s="167">
        <f t="shared" si="54"/>
        <v>0</v>
      </c>
      <c r="I318" s="167">
        <f t="shared" si="54"/>
        <v>0</v>
      </c>
      <c r="J318" s="206">
        <f t="shared" si="55"/>
        <v>0</v>
      </c>
      <c r="K318" s="101">
        <f t="shared" si="56"/>
        <v>0</v>
      </c>
      <c r="L318" s="143"/>
      <c r="N318" s="136">
        <f t="shared" ref="N318:N351" si="63">SUM(O318:T318)</f>
        <v>0</v>
      </c>
      <c r="O318" s="167">
        <f t="shared" si="57"/>
        <v>0</v>
      </c>
      <c r="P318" s="167">
        <f t="shared" si="57"/>
        <v>0</v>
      </c>
      <c r="Q318" s="167">
        <f t="shared" si="57"/>
        <v>0</v>
      </c>
      <c r="R318" s="206">
        <f t="shared" si="58"/>
        <v>0</v>
      </c>
      <c r="S318" s="144">
        <f t="shared" si="59"/>
        <v>0</v>
      </c>
      <c r="T318" s="144">
        <f t="shared" si="60"/>
        <v>0</v>
      </c>
      <c r="V318" s="219">
        <f t="shared" si="61"/>
        <v>0</v>
      </c>
    </row>
    <row r="319" spans="2:23" hidden="1" outlineLevel="2">
      <c r="C319" s="73" t="str">
        <v>SpareOfferC3</v>
      </c>
      <c r="F319" s="136">
        <f t="shared" si="62"/>
        <v>0</v>
      </c>
      <c r="G319" s="167">
        <f t="shared" si="54"/>
        <v>0</v>
      </c>
      <c r="H319" s="167">
        <f t="shared" si="54"/>
        <v>0</v>
      </c>
      <c r="I319" s="167">
        <f t="shared" si="54"/>
        <v>0</v>
      </c>
      <c r="J319" s="206">
        <f t="shared" si="55"/>
        <v>0</v>
      </c>
      <c r="K319" s="101">
        <f t="shared" si="56"/>
        <v>0</v>
      </c>
      <c r="L319" s="143"/>
      <c r="N319" s="136">
        <f t="shared" si="63"/>
        <v>0</v>
      </c>
      <c r="O319" s="167">
        <f t="shared" si="57"/>
        <v>0</v>
      </c>
      <c r="P319" s="167">
        <f t="shared" si="57"/>
        <v>0</v>
      </c>
      <c r="Q319" s="167">
        <f t="shared" si="57"/>
        <v>0</v>
      </c>
      <c r="R319" s="206">
        <f t="shared" si="58"/>
        <v>0</v>
      </c>
      <c r="S319" s="144">
        <f t="shared" si="59"/>
        <v>0</v>
      </c>
      <c r="T319" s="144">
        <f t="shared" si="60"/>
        <v>0</v>
      </c>
      <c r="V319" s="219">
        <f t="shared" si="61"/>
        <v>0</v>
      </c>
    </row>
    <row r="320" spans="2:23" hidden="1" outlineLevel="2">
      <c r="C320" s="73" t="str">
        <v>SpareOfferC4</v>
      </c>
      <c r="F320" s="136">
        <f t="shared" si="62"/>
        <v>0</v>
      </c>
      <c r="G320" s="167">
        <f t="shared" si="54"/>
        <v>0</v>
      </c>
      <c r="H320" s="167">
        <f t="shared" si="54"/>
        <v>0</v>
      </c>
      <c r="I320" s="167">
        <f t="shared" si="54"/>
        <v>0</v>
      </c>
      <c r="J320" s="206">
        <f t="shared" si="55"/>
        <v>0</v>
      </c>
      <c r="K320" s="101">
        <f t="shared" si="56"/>
        <v>0</v>
      </c>
      <c r="L320" s="143"/>
      <c r="N320" s="136">
        <f t="shared" si="63"/>
        <v>0</v>
      </c>
      <c r="O320" s="167">
        <f t="shared" si="57"/>
        <v>0</v>
      </c>
      <c r="P320" s="167">
        <f t="shared" si="57"/>
        <v>0</v>
      </c>
      <c r="Q320" s="167">
        <f t="shared" si="57"/>
        <v>0</v>
      </c>
      <c r="R320" s="206">
        <f t="shared" si="58"/>
        <v>0</v>
      </c>
      <c r="S320" s="144">
        <f t="shared" si="59"/>
        <v>0</v>
      </c>
      <c r="T320" s="144">
        <f t="shared" si="60"/>
        <v>0</v>
      </c>
      <c r="V320" s="219">
        <f t="shared" si="61"/>
        <v>0</v>
      </c>
    </row>
    <row r="321" spans="3:22" hidden="1" outlineLevel="2">
      <c r="C321" s="73" t="str">
        <v>SpareOfferC5</v>
      </c>
      <c r="F321" s="136">
        <f t="shared" si="62"/>
        <v>0</v>
      </c>
      <c r="G321" s="167">
        <f t="shared" si="54"/>
        <v>0</v>
      </c>
      <c r="H321" s="167">
        <f t="shared" si="54"/>
        <v>0</v>
      </c>
      <c r="I321" s="167">
        <f t="shared" si="54"/>
        <v>0</v>
      </c>
      <c r="J321" s="206">
        <f t="shared" si="55"/>
        <v>0</v>
      </c>
      <c r="K321" s="101">
        <f t="shared" si="56"/>
        <v>0</v>
      </c>
      <c r="L321" s="143"/>
      <c r="N321" s="136">
        <f t="shared" si="63"/>
        <v>0</v>
      </c>
      <c r="O321" s="167">
        <f t="shared" si="57"/>
        <v>0</v>
      </c>
      <c r="P321" s="167">
        <f t="shared" si="57"/>
        <v>0</v>
      </c>
      <c r="Q321" s="167">
        <f t="shared" si="57"/>
        <v>0</v>
      </c>
      <c r="R321" s="206">
        <f t="shared" si="58"/>
        <v>0</v>
      </c>
      <c r="S321" s="144">
        <f t="shared" si="59"/>
        <v>0</v>
      </c>
      <c r="T321" s="144">
        <f t="shared" si="60"/>
        <v>0</v>
      </c>
      <c r="V321" s="219">
        <f t="shared" si="61"/>
        <v>0</v>
      </c>
    </row>
    <row r="322" spans="3:22" hidden="1" outlineLevel="2">
      <c r="C322" s="73" t="str">
        <v>SpareOfferC6</v>
      </c>
      <c r="F322" s="136">
        <f t="shared" si="62"/>
        <v>0</v>
      </c>
      <c r="G322" s="167">
        <f t="shared" si="54"/>
        <v>0</v>
      </c>
      <c r="H322" s="167">
        <f t="shared" si="54"/>
        <v>0</v>
      </c>
      <c r="I322" s="167">
        <f t="shared" si="54"/>
        <v>0</v>
      </c>
      <c r="J322" s="206">
        <f t="shared" si="55"/>
        <v>0</v>
      </c>
      <c r="K322" s="101">
        <f t="shared" si="56"/>
        <v>0</v>
      </c>
      <c r="L322" s="143"/>
      <c r="N322" s="136">
        <f t="shared" si="63"/>
        <v>0</v>
      </c>
      <c r="O322" s="167">
        <f t="shared" si="57"/>
        <v>0</v>
      </c>
      <c r="P322" s="167">
        <f t="shared" si="57"/>
        <v>0</v>
      </c>
      <c r="Q322" s="167">
        <f t="shared" si="57"/>
        <v>0</v>
      </c>
      <c r="R322" s="206">
        <f t="shared" si="58"/>
        <v>0</v>
      </c>
      <c r="S322" s="144">
        <f t="shared" si="59"/>
        <v>0</v>
      </c>
      <c r="T322" s="144">
        <f t="shared" si="60"/>
        <v>0</v>
      </c>
      <c r="V322" s="219">
        <f t="shared" si="61"/>
        <v>0</v>
      </c>
    </row>
    <row r="323" spans="3:22" hidden="1" outlineLevel="2">
      <c r="C323" s="73" t="str">
        <v>SpareOfferC7</v>
      </c>
      <c r="F323" s="136">
        <f t="shared" si="62"/>
        <v>0</v>
      </c>
      <c r="G323" s="167">
        <f t="shared" si="54"/>
        <v>0</v>
      </c>
      <c r="H323" s="167">
        <f t="shared" si="54"/>
        <v>0</v>
      </c>
      <c r="I323" s="167">
        <f t="shared" si="54"/>
        <v>0</v>
      </c>
      <c r="J323" s="206">
        <f t="shared" si="55"/>
        <v>0</v>
      </c>
      <c r="K323" s="101">
        <f t="shared" si="56"/>
        <v>0</v>
      </c>
      <c r="L323" s="143"/>
      <c r="N323" s="136">
        <f t="shared" si="63"/>
        <v>0</v>
      </c>
      <c r="O323" s="167">
        <f t="shared" si="57"/>
        <v>0</v>
      </c>
      <c r="P323" s="167">
        <f t="shared" si="57"/>
        <v>0</v>
      </c>
      <c r="Q323" s="167">
        <f t="shared" si="57"/>
        <v>0</v>
      </c>
      <c r="R323" s="206">
        <f t="shared" si="58"/>
        <v>0</v>
      </c>
      <c r="S323" s="144">
        <f t="shared" si="59"/>
        <v>0</v>
      </c>
      <c r="T323" s="144">
        <f t="shared" si="60"/>
        <v>0</v>
      </c>
      <c r="V323" s="219">
        <f t="shared" si="61"/>
        <v>0</v>
      </c>
    </row>
    <row r="324" spans="3:22" hidden="1" outlineLevel="2">
      <c r="C324" s="73" t="str">
        <v>SpareOfferC8</v>
      </c>
      <c r="F324" s="136">
        <f t="shared" si="62"/>
        <v>0</v>
      </c>
      <c r="G324" s="167">
        <f t="shared" si="54"/>
        <v>0</v>
      </c>
      <c r="H324" s="167">
        <f t="shared" si="54"/>
        <v>0</v>
      </c>
      <c r="I324" s="167">
        <f t="shared" si="54"/>
        <v>0</v>
      </c>
      <c r="J324" s="206">
        <f t="shared" si="55"/>
        <v>0</v>
      </c>
      <c r="K324" s="101">
        <f t="shared" si="56"/>
        <v>0</v>
      </c>
      <c r="L324" s="143"/>
      <c r="N324" s="136">
        <f t="shared" si="63"/>
        <v>0</v>
      </c>
      <c r="O324" s="167">
        <f t="shared" si="57"/>
        <v>0</v>
      </c>
      <c r="P324" s="167">
        <f t="shared" si="57"/>
        <v>0</v>
      </c>
      <c r="Q324" s="167">
        <f t="shared" si="57"/>
        <v>0</v>
      </c>
      <c r="R324" s="206">
        <f t="shared" si="58"/>
        <v>0</v>
      </c>
      <c r="S324" s="144">
        <f t="shared" si="59"/>
        <v>0</v>
      </c>
      <c r="T324" s="144">
        <f t="shared" si="60"/>
        <v>0</v>
      </c>
      <c r="V324" s="219">
        <f t="shared" si="61"/>
        <v>0</v>
      </c>
    </row>
    <row r="325" spans="3:22" hidden="1" outlineLevel="2">
      <c r="C325" s="73" t="str">
        <v>SpareOfferC9</v>
      </c>
      <c r="F325" s="136">
        <f t="shared" si="62"/>
        <v>0</v>
      </c>
      <c r="G325" s="167">
        <f t="shared" si="54"/>
        <v>0</v>
      </c>
      <c r="H325" s="167">
        <f t="shared" si="54"/>
        <v>0</v>
      </c>
      <c r="I325" s="167">
        <f t="shared" si="54"/>
        <v>0</v>
      </c>
      <c r="J325" s="206">
        <f t="shared" si="55"/>
        <v>0</v>
      </c>
      <c r="K325" s="101">
        <f t="shared" si="56"/>
        <v>0</v>
      </c>
      <c r="L325" s="143"/>
      <c r="N325" s="136">
        <f t="shared" si="63"/>
        <v>0</v>
      </c>
      <c r="O325" s="167">
        <f t="shared" si="57"/>
        <v>0</v>
      </c>
      <c r="P325" s="167">
        <f t="shared" si="57"/>
        <v>0</v>
      </c>
      <c r="Q325" s="167">
        <f t="shared" si="57"/>
        <v>0</v>
      </c>
      <c r="R325" s="206">
        <f t="shared" si="58"/>
        <v>0</v>
      </c>
      <c r="S325" s="144">
        <f t="shared" si="59"/>
        <v>0</v>
      </c>
      <c r="T325" s="144">
        <f t="shared" si="60"/>
        <v>0</v>
      </c>
      <c r="V325" s="219">
        <f t="shared" si="61"/>
        <v>0</v>
      </c>
    </row>
    <row r="326" spans="3:22" hidden="1" outlineLevel="2">
      <c r="C326" s="73" t="str">
        <v>SpareOfferC10</v>
      </c>
      <c r="F326" s="136">
        <f t="shared" si="62"/>
        <v>0</v>
      </c>
      <c r="G326" s="167">
        <f t="shared" si="54"/>
        <v>0</v>
      </c>
      <c r="H326" s="167">
        <f t="shared" si="54"/>
        <v>0</v>
      </c>
      <c r="I326" s="167">
        <f t="shared" si="54"/>
        <v>0</v>
      </c>
      <c r="J326" s="206">
        <f t="shared" si="55"/>
        <v>0</v>
      </c>
      <c r="K326" s="101">
        <f t="shared" si="56"/>
        <v>0</v>
      </c>
      <c r="L326" s="143"/>
      <c r="N326" s="136">
        <f t="shared" si="63"/>
        <v>0</v>
      </c>
      <c r="O326" s="167">
        <f t="shared" si="57"/>
        <v>0</v>
      </c>
      <c r="P326" s="167">
        <f t="shared" si="57"/>
        <v>0</v>
      </c>
      <c r="Q326" s="167">
        <f t="shared" si="57"/>
        <v>0</v>
      </c>
      <c r="R326" s="206">
        <f t="shared" si="58"/>
        <v>0</v>
      </c>
      <c r="S326" s="144">
        <f t="shared" si="59"/>
        <v>0</v>
      </c>
      <c r="T326" s="144">
        <f t="shared" si="60"/>
        <v>0</v>
      </c>
      <c r="V326" s="219">
        <f t="shared" si="61"/>
        <v>0</v>
      </c>
    </row>
    <row r="327" spans="3:22" hidden="1" outlineLevel="2">
      <c r="C327" s="73" t="str">
        <v>SpareOfferC11</v>
      </c>
      <c r="F327" s="136">
        <f t="shared" si="62"/>
        <v>0</v>
      </c>
      <c r="G327" s="167">
        <f t="shared" si="54"/>
        <v>0</v>
      </c>
      <c r="H327" s="167">
        <f t="shared" si="54"/>
        <v>0</v>
      </c>
      <c r="I327" s="167">
        <f t="shared" si="54"/>
        <v>0</v>
      </c>
      <c r="J327" s="206">
        <f t="shared" si="55"/>
        <v>0</v>
      </c>
      <c r="K327" s="101">
        <f t="shared" si="56"/>
        <v>0</v>
      </c>
      <c r="L327" s="143"/>
      <c r="N327" s="136">
        <f t="shared" si="63"/>
        <v>0</v>
      </c>
      <c r="O327" s="167">
        <f t="shared" si="57"/>
        <v>0</v>
      </c>
      <c r="P327" s="167">
        <f t="shared" si="57"/>
        <v>0</v>
      </c>
      <c r="Q327" s="167">
        <f t="shared" si="57"/>
        <v>0</v>
      </c>
      <c r="R327" s="206">
        <f t="shared" si="58"/>
        <v>0</v>
      </c>
      <c r="S327" s="144">
        <f t="shared" si="59"/>
        <v>0</v>
      </c>
      <c r="T327" s="144">
        <f t="shared" si="60"/>
        <v>0</v>
      </c>
      <c r="V327" s="219">
        <f t="shared" si="61"/>
        <v>0</v>
      </c>
    </row>
    <row r="328" spans="3:22" hidden="1" outlineLevel="2">
      <c r="C328" s="73" t="str">
        <v>SpareOfferC12</v>
      </c>
      <c r="F328" s="136">
        <f t="shared" si="62"/>
        <v>0</v>
      </c>
      <c r="G328" s="167">
        <f t="shared" si="54"/>
        <v>0</v>
      </c>
      <c r="H328" s="167">
        <f t="shared" si="54"/>
        <v>0</v>
      </c>
      <c r="I328" s="167">
        <f t="shared" si="54"/>
        <v>0</v>
      </c>
      <c r="J328" s="206">
        <f t="shared" si="55"/>
        <v>0</v>
      </c>
      <c r="K328" s="101">
        <f t="shared" si="56"/>
        <v>0</v>
      </c>
      <c r="L328" s="143"/>
      <c r="N328" s="136">
        <f t="shared" si="63"/>
        <v>0</v>
      </c>
      <c r="O328" s="167">
        <f t="shared" si="57"/>
        <v>0</v>
      </c>
      <c r="P328" s="167">
        <f t="shared" si="57"/>
        <v>0</v>
      </c>
      <c r="Q328" s="167">
        <f t="shared" si="57"/>
        <v>0</v>
      </c>
      <c r="R328" s="206">
        <f t="shared" si="58"/>
        <v>0</v>
      </c>
      <c r="S328" s="144">
        <f t="shared" si="59"/>
        <v>0</v>
      </c>
      <c r="T328" s="144">
        <f t="shared" si="60"/>
        <v>0</v>
      </c>
      <c r="V328" s="219">
        <f t="shared" si="61"/>
        <v>0</v>
      </c>
    </row>
    <row r="329" spans="3:22" hidden="1" outlineLevel="2">
      <c r="C329" s="73" t="str">
        <v>SpareOfferC13</v>
      </c>
      <c r="F329" s="136">
        <f t="shared" si="62"/>
        <v>0</v>
      </c>
      <c r="G329" s="167">
        <f t="shared" si="54"/>
        <v>0</v>
      </c>
      <c r="H329" s="167">
        <f t="shared" si="54"/>
        <v>0</v>
      </c>
      <c r="I329" s="167">
        <f t="shared" si="54"/>
        <v>0</v>
      </c>
      <c r="J329" s="206">
        <f t="shared" si="55"/>
        <v>0</v>
      </c>
      <c r="K329" s="101">
        <f t="shared" si="56"/>
        <v>0</v>
      </c>
      <c r="L329" s="143"/>
      <c r="N329" s="136">
        <f t="shared" si="63"/>
        <v>0</v>
      </c>
      <c r="O329" s="167">
        <f t="shared" si="57"/>
        <v>0</v>
      </c>
      <c r="P329" s="167">
        <f t="shared" si="57"/>
        <v>0</v>
      </c>
      <c r="Q329" s="167">
        <f t="shared" si="57"/>
        <v>0</v>
      </c>
      <c r="R329" s="206">
        <f t="shared" si="58"/>
        <v>0</v>
      </c>
      <c r="S329" s="144">
        <f t="shared" si="59"/>
        <v>0</v>
      </c>
      <c r="T329" s="144">
        <f t="shared" si="60"/>
        <v>0</v>
      </c>
      <c r="V329" s="219">
        <f t="shared" si="61"/>
        <v>0</v>
      </c>
    </row>
    <row r="330" spans="3:22" hidden="1" outlineLevel="2">
      <c r="C330" s="73" t="str">
        <v>SpareOfferC14</v>
      </c>
      <c r="F330" s="136">
        <f t="shared" si="62"/>
        <v>0</v>
      </c>
      <c r="G330" s="167">
        <f t="shared" si="54"/>
        <v>0</v>
      </c>
      <c r="H330" s="167">
        <f t="shared" si="54"/>
        <v>0</v>
      </c>
      <c r="I330" s="167">
        <f t="shared" si="54"/>
        <v>0</v>
      </c>
      <c r="J330" s="206">
        <f t="shared" si="55"/>
        <v>0</v>
      </c>
      <c r="K330" s="101">
        <f t="shared" si="56"/>
        <v>0</v>
      </c>
      <c r="L330" s="143"/>
      <c r="N330" s="136">
        <f t="shared" si="63"/>
        <v>0</v>
      </c>
      <c r="O330" s="167">
        <f t="shared" si="57"/>
        <v>0</v>
      </c>
      <c r="P330" s="167">
        <f t="shared" si="57"/>
        <v>0</v>
      </c>
      <c r="Q330" s="167">
        <f t="shared" si="57"/>
        <v>0</v>
      </c>
      <c r="R330" s="206">
        <f t="shared" si="58"/>
        <v>0</v>
      </c>
      <c r="S330" s="144">
        <f t="shared" si="59"/>
        <v>0</v>
      </c>
      <c r="T330" s="144">
        <f t="shared" si="60"/>
        <v>0</v>
      </c>
      <c r="V330" s="219">
        <f t="shared" si="61"/>
        <v>0</v>
      </c>
    </row>
    <row r="331" spans="3:22" hidden="1" outlineLevel="2">
      <c r="C331" s="73" t="str">
        <v>SpareOfferC15</v>
      </c>
      <c r="F331" s="136">
        <f t="shared" si="62"/>
        <v>0</v>
      </c>
      <c r="G331" s="167">
        <f t="shared" si="54"/>
        <v>0</v>
      </c>
      <c r="H331" s="167">
        <f t="shared" si="54"/>
        <v>0</v>
      </c>
      <c r="I331" s="167">
        <f t="shared" si="54"/>
        <v>0</v>
      </c>
      <c r="J331" s="206">
        <f t="shared" si="55"/>
        <v>0</v>
      </c>
      <c r="K331" s="101">
        <f t="shared" si="56"/>
        <v>0</v>
      </c>
      <c r="L331" s="143"/>
      <c r="N331" s="136">
        <f t="shared" si="63"/>
        <v>0</v>
      </c>
      <c r="O331" s="167">
        <f t="shared" si="57"/>
        <v>0</v>
      </c>
      <c r="P331" s="167">
        <f t="shared" si="57"/>
        <v>0</v>
      </c>
      <c r="Q331" s="167">
        <f t="shared" si="57"/>
        <v>0</v>
      </c>
      <c r="R331" s="206">
        <f t="shared" si="58"/>
        <v>0</v>
      </c>
      <c r="S331" s="144">
        <f t="shared" si="59"/>
        <v>0</v>
      </c>
      <c r="T331" s="144">
        <f t="shared" si="60"/>
        <v>0</v>
      </c>
      <c r="V331" s="219">
        <f t="shared" si="61"/>
        <v>0</v>
      </c>
    </row>
    <row r="332" spans="3:22" hidden="1" outlineLevel="2">
      <c r="C332" s="73" t="str">
        <v>SpareOfferC16</v>
      </c>
      <c r="F332" s="136">
        <f t="shared" si="62"/>
        <v>0</v>
      </c>
      <c r="G332" s="167">
        <f t="shared" si="54"/>
        <v>0</v>
      </c>
      <c r="H332" s="167">
        <f t="shared" si="54"/>
        <v>0</v>
      </c>
      <c r="I332" s="167">
        <f t="shared" si="54"/>
        <v>0</v>
      </c>
      <c r="J332" s="206">
        <f t="shared" si="55"/>
        <v>0</v>
      </c>
      <c r="K332" s="101">
        <f t="shared" si="56"/>
        <v>0</v>
      </c>
      <c r="L332" s="143"/>
      <c r="N332" s="136">
        <f t="shared" si="63"/>
        <v>0</v>
      </c>
      <c r="O332" s="167">
        <f t="shared" si="57"/>
        <v>0</v>
      </c>
      <c r="P332" s="167">
        <f t="shared" si="57"/>
        <v>0</v>
      </c>
      <c r="Q332" s="167">
        <f t="shared" si="57"/>
        <v>0</v>
      </c>
      <c r="R332" s="206">
        <f t="shared" si="58"/>
        <v>0</v>
      </c>
      <c r="S332" s="144">
        <f t="shared" si="59"/>
        <v>0</v>
      </c>
      <c r="T332" s="144">
        <f t="shared" si="60"/>
        <v>0</v>
      </c>
      <c r="V332" s="219">
        <f t="shared" si="61"/>
        <v>0</v>
      </c>
    </row>
    <row r="333" spans="3:22" hidden="1" outlineLevel="2">
      <c r="C333" s="73" t="str">
        <v>SpareOfferC17</v>
      </c>
      <c r="F333" s="136">
        <f t="shared" si="62"/>
        <v>0</v>
      </c>
      <c r="G333" s="167">
        <f t="shared" si="54"/>
        <v>0</v>
      </c>
      <c r="H333" s="167">
        <f t="shared" si="54"/>
        <v>0</v>
      </c>
      <c r="I333" s="167">
        <f t="shared" si="54"/>
        <v>0</v>
      </c>
      <c r="J333" s="206">
        <f t="shared" si="55"/>
        <v>0</v>
      </c>
      <c r="K333" s="101">
        <f t="shared" si="56"/>
        <v>0</v>
      </c>
      <c r="L333" s="143"/>
      <c r="N333" s="136">
        <f t="shared" si="63"/>
        <v>0</v>
      </c>
      <c r="O333" s="167">
        <f t="shared" si="57"/>
        <v>0</v>
      </c>
      <c r="P333" s="167">
        <f t="shared" si="57"/>
        <v>0</v>
      </c>
      <c r="Q333" s="167">
        <f t="shared" si="57"/>
        <v>0</v>
      </c>
      <c r="R333" s="206">
        <f t="shared" si="58"/>
        <v>0</v>
      </c>
      <c r="S333" s="144">
        <f t="shared" si="59"/>
        <v>0</v>
      </c>
      <c r="T333" s="144">
        <f t="shared" si="60"/>
        <v>0</v>
      </c>
      <c r="V333" s="219">
        <f t="shared" si="61"/>
        <v>0</v>
      </c>
    </row>
    <row r="334" spans="3:22" hidden="1" outlineLevel="2">
      <c r="C334" s="73" t="str">
        <v>SpareOfferC18</v>
      </c>
      <c r="F334" s="136">
        <f t="shared" si="62"/>
        <v>0</v>
      </c>
      <c r="G334" s="167">
        <f t="shared" si="54"/>
        <v>0</v>
      </c>
      <c r="H334" s="167">
        <f t="shared" si="54"/>
        <v>0</v>
      </c>
      <c r="I334" s="167">
        <f t="shared" si="54"/>
        <v>0</v>
      </c>
      <c r="J334" s="206">
        <f t="shared" si="55"/>
        <v>0</v>
      </c>
      <c r="K334" s="101">
        <f t="shared" si="56"/>
        <v>0</v>
      </c>
      <c r="L334" s="143"/>
      <c r="N334" s="136">
        <f t="shared" si="63"/>
        <v>0</v>
      </c>
      <c r="O334" s="167">
        <f t="shared" si="57"/>
        <v>0</v>
      </c>
      <c r="P334" s="167">
        <f t="shared" si="57"/>
        <v>0</v>
      </c>
      <c r="Q334" s="167">
        <f t="shared" si="57"/>
        <v>0</v>
      </c>
      <c r="R334" s="206">
        <f t="shared" si="58"/>
        <v>0</v>
      </c>
      <c r="S334" s="144">
        <f t="shared" si="59"/>
        <v>0</v>
      </c>
      <c r="T334" s="144">
        <f t="shared" si="60"/>
        <v>0</v>
      </c>
      <c r="V334" s="219">
        <f t="shared" si="61"/>
        <v>0</v>
      </c>
    </row>
    <row r="335" spans="3:22" hidden="1" outlineLevel="2">
      <c r="C335" s="73" t="str">
        <v>SpareOfferC19</v>
      </c>
      <c r="F335" s="136">
        <f t="shared" si="62"/>
        <v>0</v>
      </c>
      <c r="G335" s="167">
        <f t="shared" si="54"/>
        <v>0</v>
      </c>
      <c r="H335" s="167">
        <f t="shared" si="54"/>
        <v>0</v>
      </c>
      <c r="I335" s="167">
        <f t="shared" si="54"/>
        <v>0</v>
      </c>
      <c r="J335" s="206">
        <f t="shared" si="55"/>
        <v>0</v>
      </c>
      <c r="K335" s="101">
        <f t="shared" si="56"/>
        <v>0</v>
      </c>
      <c r="L335" s="143"/>
      <c r="N335" s="136">
        <f t="shared" si="63"/>
        <v>0</v>
      </c>
      <c r="O335" s="167">
        <f t="shared" si="57"/>
        <v>0</v>
      </c>
      <c r="P335" s="167">
        <f t="shared" si="57"/>
        <v>0</v>
      </c>
      <c r="Q335" s="167">
        <f t="shared" si="57"/>
        <v>0</v>
      </c>
      <c r="R335" s="206">
        <f t="shared" si="58"/>
        <v>0</v>
      </c>
      <c r="S335" s="144">
        <f t="shared" si="59"/>
        <v>0</v>
      </c>
      <c r="T335" s="144">
        <f t="shared" si="60"/>
        <v>0</v>
      </c>
      <c r="V335" s="219">
        <f t="shared" si="61"/>
        <v>0</v>
      </c>
    </row>
    <row r="336" spans="3:22" hidden="1" outlineLevel="2">
      <c r="C336" s="73" t="str">
        <v>SpareOfferC20</v>
      </c>
      <c r="F336" s="136">
        <f t="shared" si="62"/>
        <v>0</v>
      </c>
      <c r="G336" s="167">
        <f t="shared" si="54"/>
        <v>0</v>
      </c>
      <c r="H336" s="167">
        <f t="shared" si="54"/>
        <v>0</v>
      </c>
      <c r="I336" s="167">
        <f t="shared" si="54"/>
        <v>0</v>
      </c>
      <c r="J336" s="206">
        <f t="shared" si="55"/>
        <v>0</v>
      </c>
      <c r="K336" s="101">
        <f t="shared" si="56"/>
        <v>0</v>
      </c>
      <c r="L336" s="143"/>
      <c r="N336" s="136">
        <f t="shared" si="63"/>
        <v>0</v>
      </c>
      <c r="O336" s="167">
        <f t="shared" si="57"/>
        <v>0</v>
      </c>
      <c r="P336" s="167">
        <f t="shared" si="57"/>
        <v>0</v>
      </c>
      <c r="Q336" s="167">
        <f t="shared" si="57"/>
        <v>0</v>
      </c>
      <c r="R336" s="206">
        <f t="shared" si="58"/>
        <v>0</v>
      </c>
      <c r="S336" s="144">
        <f t="shared" si="59"/>
        <v>0</v>
      </c>
      <c r="T336" s="144">
        <f t="shared" si="60"/>
        <v>0</v>
      </c>
      <c r="V336" s="219">
        <f t="shared" si="61"/>
        <v>0</v>
      </c>
    </row>
    <row r="337" spans="3:22" hidden="1" outlineLevel="2">
      <c r="C337" s="73" t="str">
        <v>SpareOfferC21</v>
      </c>
      <c r="F337" s="136">
        <f t="shared" si="62"/>
        <v>0</v>
      </c>
      <c r="G337" s="167">
        <f t="shared" ref="G337:I351" si="64">$G299*G261</f>
        <v>0</v>
      </c>
      <c r="H337" s="167">
        <f t="shared" si="64"/>
        <v>0</v>
      </c>
      <c r="I337" s="167">
        <f t="shared" si="64"/>
        <v>0</v>
      </c>
      <c r="J337" s="206">
        <f t="shared" si="55"/>
        <v>0</v>
      </c>
      <c r="K337" s="101">
        <f t="shared" si="56"/>
        <v>0</v>
      </c>
      <c r="L337" s="143"/>
      <c r="N337" s="136">
        <f t="shared" si="63"/>
        <v>0</v>
      </c>
      <c r="O337" s="167">
        <f t="shared" ref="O337:Q351" si="65">$I299*O261</f>
        <v>0</v>
      </c>
      <c r="P337" s="167">
        <f t="shared" si="65"/>
        <v>0</v>
      </c>
      <c r="Q337" s="167">
        <f t="shared" si="65"/>
        <v>0</v>
      </c>
      <c r="R337" s="206">
        <f t="shared" si="58"/>
        <v>0</v>
      </c>
      <c r="S337" s="144">
        <f t="shared" si="59"/>
        <v>0</v>
      </c>
      <c r="T337" s="144">
        <f t="shared" si="60"/>
        <v>0</v>
      </c>
      <c r="V337" s="219">
        <f t="shared" si="61"/>
        <v>0</v>
      </c>
    </row>
    <row r="338" spans="3:22" hidden="1" outlineLevel="2">
      <c r="C338" s="73" t="str">
        <v>SpareOfferC22</v>
      </c>
      <c r="F338" s="136">
        <f t="shared" si="62"/>
        <v>0</v>
      </c>
      <c r="G338" s="167">
        <f t="shared" si="64"/>
        <v>0</v>
      </c>
      <c r="H338" s="167">
        <f t="shared" si="64"/>
        <v>0</v>
      </c>
      <c r="I338" s="167">
        <f t="shared" si="64"/>
        <v>0</v>
      </c>
      <c r="J338" s="206">
        <f t="shared" si="55"/>
        <v>0</v>
      </c>
      <c r="K338" s="101">
        <f t="shared" si="56"/>
        <v>0</v>
      </c>
      <c r="L338" s="143"/>
      <c r="N338" s="136">
        <f t="shared" si="63"/>
        <v>0</v>
      </c>
      <c r="O338" s="167">
        <f t="shared" si="65"/>
        <v>0</v>
      </c>
      <c r="P338" s="167">
        <f t="shared" si="65"/>
        <v>0</v>
      </c>
      <c r="Q338" s="167">
        <f t="shared" si="65"/>
        <v>0</v>
      </c>
      <c r="R338" s="206">
        <f t="shared" si="58"/>
        <v>0</v>
      </c>
      <c r="S338" s="144">
        <f t="shared" si="59"/>
        <v>0</v>
      </c>
      <c r="T338" s="144">
        <f t="shared" si="60"/>
        <v>0</v>
      </c>
      <c r="V338" s="219">
        <f t="shared" si="61"/>
        <v>0</v>
      </c>
    </row>
    <row r="339" spans="3:22" hidden="1" outlineLevel="2">
      <c r="C339" s="73" t="str">
        <v>SpareOfferC23</v>
      </c>
      <c r="F339" s="136">
        <f t="shared" si="62"/>
        <v>0</v>
      </c>
      <c r="G339" s="167">
        <f t="shared" si="64"/>
        <v>0</v>
      </c>
      <c r="H339" s="167">
        <f t="shared" si="64"/>
        <v>0</v>
      </c>
      <c r="I339" s="167">
        <f t="shared" si="64"/>
        <v>0</v>
      </c>
      <c r="J339" s="206">
        <f t="shared" si="55"/>
        <v>0</v>
      </c>
      <c r="K339" s="101">
        <f t="shared" si="56"/>
        <v>0</v>
      </c>
      <c r="L339" s="143"/>
      <c r="N339" s="136">
        <f t="shared" si="63"/>
        <v>0</v>
      </c>
      <c r="O339" s="167">
        <f t="shared" si="65"/>
        <v>0</v>
      </c>
      <c r="P339" s="167">
        <f t="shared" si="65"/>
        <v>0</v>
      </c>
      <c r="Q339" s="167">
        <f t="shared" si="65"/>
        <v>0</v>
      </c>
      <c r="R339" s="206">
        <f t="shared" si="58"/>
        <v>0</v>
      </c>
      <c r="S339" s="144">
        <f t="shared" si="59"/>
        <v>0</v>
      </c>
      <c r="T339" s="144">
        <f t="shared" si="60"/>
        <v>0</v>
      </c>
      <c r="V339" s="219">
        <f t="shared" si="61"/>
        <v>0</v>
      </c>
    </row>
    <row r="340" spans="3:22" hidden="1" outlineLevel="2">
      <c r="C340" s="73" t="str">
        <v>SpareOfferC24</v>
      </c>
      <c r="F340" s="136">
        <f t="shared" si="62"/>
        <v>0</v>
      </c>
      <c r="G340" s="167">
        <f t="shared" si="64"/>
        <v>0</v>
      </c>
      <c r="H340" s="167">
        <f t="shared" si="64"/>
        <v>0</v>
      </c>
      <c r="I340" s="167">
        <f t="shared" si="64"/>
        <v>0</v>
      </c>
      <c r="J340" s="206">
        <f t="shared" si="55"/>
        <v>0</v>
      </c>
      <c r="K340" s="101">
        <f t="shared" si="56"/>
        <v>0</v>
      </c>
      <c r="L340" s="143"/>
      <c r="N340" s="136">
        <f t="shared" si="63"/>
        <v>0</v>
      </c>
      <c r="O340" s="167">
        <f t="shared" si="65"/>
        <v>0</v>
      </c>
      <c r="P340" s="167">
        <f t="shared" si="65"/>
        <v>0</v>
      </c>
      <c r="Q340" s="167">
        <f t="shared" si="65"/>
        <v>0</v>
      </c>
      <c r="R340" s="206">
        <f t="shared" si="58"/>
        <v>0</v>
      </c>
      <c r="S340" s="144">
        <f t="shared" si="59"/>
        <v>0</v>
      </c>
      <c r="T340" s="144">
        <f t="shared" si="60"/>
        <v>0</v>
      </c>
      <c r="V340" s="219">
        <f t="shared" si="61"/>
        <v>0</v>
      </c>
    </row>
    <row r="341" spans="3:22" hidden="1" outlineLevel="2">
      <c r="C341" s="73" t="str">
        <v>SpareOfferC25</v>
      </c>
      <c r="F341" s="136">
        <f t="shared" si="62"/>
        <v>0</v>
      </c>
      <c r="G341" s="167">
        <f t="shared" si="64"/>
        <v>0</v>
      </c>
      <c r="H341" s="167">
        <f t="shared" si="64"/>
        <v>0</v>
      </c>
      <c r="I341" s="167">
        <f t="shared" si="64"/>
        <v>0</v>
      </c>
      <c r="J341" s="206">
        <f t="shared" si="55"/>
        <v>0</v>
      </c>
      <c r="K341" s="101">
        <f t="shared" si="56"/>
        <v>0</v>
      </c>
      <c r="L341" s="143"/>
      <c r="N341" s="136">
        <f t="shared" si="63"/>
        <v>0</v>
      </c>
      <c r="O341" s="167">
        <f t="shared" si="65"/>
        <v>0</v>
      </c>
      <c r="P341" s="167">
        <f t="shared" si="65"/>
        <v>0</v>
      </c>
      <c r="Q341" s="167">
        <f t="shared" si="65"/>
        <v>0</v>
      </c>
      <c r="R341" s="206">
        <f t="shared" si="58"/>
        <v>0</v>
      </c>
      <c r="S341" s="144">
        <f t="shared" si="59"/>
        <v>0</v>
      </c>
      <c r="T341" s="144">
        <f t="shared" si="60"/>
        <v>0</v>
      </c>
      <c r="V341" s="219">
        <f t="shared" si="61"/>
        <v>0</v>
      </c>
    </row>
    <row r="342" spans="3:22" hidden="1" outlineLevel="2">
      <c r="C342" s="73" t="str">
        <v>SpareOfferC26</v>
      </c>
      <c r="F342" s="136">
        <f t="shared" si="62"/>
        <v>0</v>
      </c>
      <c r="G342" s="167">
        <f t="shared" si="64"/>
        <v>0</v>
      </c>
      <c r="H342" s="167">
        <f t="shared" si="64"/>
        <v>0</v>
      </c>
      <c r="I342" s="167">
        <f t="shared" si="64"/>
        <v>0</v>
      </c>
      <c r="J342" s="206">
        <f t="shared" si="55"/>
        <v>0</v>
      </c>
      <c r="K342" s="101">
        <f t="shared" si="56"/>
        <v>0</v>
      </c>
      <c r="L342" s="143"/>
      <c r="N342" s="136">
        <f t="shared" si="63"/>
        <v>0</v>
      </c>
      <c r="O342" s="167">
        <f t="shared" si="65"/>
        <v>0</v>
      </c>
      <c r="P342" s="167">
        <f t="shared" si="65"/>
        <v>0</v>
      </c>
      <c r="Q342" s="167">
        <f t="shared" si="65"/>
        <v>0</v>
      </c>
      <c r="R342" s="206">
        <f t="shared" si="58"/>
        <v>0</v>
      </c>
      <c r="S342" s="144">
        <f t="shared" si="59"/>
        <v>0</v>
      </c>
      <c r="T342" s="144">
        <f t="shared" si="60"/>
        <v>0</v>
      </c>
      <c r="V342" s="219">
        <f t="shared" si="61"/>
        <v>0</v>
      </c>
    </row>
    <row r="343" spans="3:22" hidden="1" outlineLevel="2">
      <c r="C343" s="73" t="str">
        <v>SpareOfferC27</v>
      </c>
      <c r="F343" s="136">
        <f t="shared" si="62"/>
        <v>0</v>
      </c>
      <c r="G343" s="167">
        <f t="shared" si="64"/>
        <v>0</v>
      </c>
      <c r="H343" s="167">
        <f t="shared" si="64"/>
        <v>0</v>
      </c>
      <c r="I343" s="167">
        <f t="shared" si="64"/>
        <v>0</v>
      </c>
      <c r="J343" s="206">
        <f t="shared" si="55"/>
        <v>0</v>
      </c>
      <c r="K343" s="101">
        <f t="shared" si="56"/>
        <v>0</v>
      </c>
      <c r="L343" s="143"/>
      <c r="N343" s="136">
        <f t="shared" si="63"/>
        <v>0</v>
      </c>
      <c r="O343" s="167">
        <f t="shared" si="65"/>
        <v>0</v>
      </c>
      <c r="P343" s="167">
        <f t="shared" si="65"/>
        <v>0</v>
      </c>
      <c r="Q343" s="167">
        <f t="shared" si="65"/>
        <v>0</v>
      </c>
      <c r="R343" s="206">
        <f t="shared" si="58"/>
        <v>0</v>
      </c>
      <c r="S343" s="144">
        <f t="shared" si="59"/>
        <v>0</v>
      </c>
      <c r="T343" s="144">
        <f t="shared" si="60"/>
        <v>0</v>
      </c>
      <c r="V343" s="219">
        <f t="shared" si="61"/>
        <v>0</v>
      </c>
    </row>
    <row r="344" spans="3:22" hidden="1" outlineLevel="2">
      <c r="C344" s="73" t="str">
        <v>SpareOfferC28</v>
      </c>
      <c r="F344" s="136">
        <f t="shared" si="62"/>
        <v>0</v>
      </c>
      <c r="G344" s="167">
        <f t="shared" si="64"/>
        <v>0</v>
      </c>
      <c r="H344" s="167">
        <f t="shared" si="64"/>
        <v>0</v>
      </c>
      <c r="I344" s="167">
        <f t="shared" si="64"/>
        <v>0</v>
      </c>
      <c r="J344" s="206">
        <f t="shared" si="55"/>
        <v>0</v>
      </c>
      <c r="K344" s="101">
        <f t="shared" si="56"/>
        <v>0</v>
      </c>
      <c r="L344" s="143"/>
      <c r="N344" s="136">
        <f t="shared" si="63"/>
        <v>0</v>
      </c>
      <c r="O344" s="167">
        <f t="shared" si="65"/>
        <v>0</v>
      </c>
      <c r="P344" s="167">
        <f t="shared" si="65"/>
        <v>0</v>
      </c>
      <c r="Q344" s="167">
        <f t="shared" si="65"/>
        <v>0</v>
      </c>
      <c r="R344" s="206">
        <f t="shared" si="58"/>
        <v>0</v>
      </c>
      <c r="S344" s="144">
        <f t="shared" si="59"/>
        <v>0</v>
      </c>
      <c r="T344" s="144">
        <f t="shared" si="60"/>
        <v>0</v>
      </c>
      <c r="V344" s="219">
        <f t="shared" si="61"/>
        <v>0</v>
      </c>
    </row>
    <row r="345" spans="3:22" hidden="1" outlineLevel="2">
      <c r="C345" s="73" t="str">
        <v>SpareOfferC29</v>
      </c>
      <c r="F345" s="136">
        <f t="shared" si="62"/>
        <v>0</v>
      </c>
      <c r="G345" s="167">
        <f t="shared" si="64"/>
        <v>0</v>
      </c>
      <c r="H345" s="167">
        <f t="shared" si="64"/>
        <v>0</v>
      </c>
      <c r="I345" s="167">
        <f t="shared" si="64"/>
        <v>0</v>
      </c>
      <c r="J345" s="206">
        <f t="shared" si="55"/>
        <v>0</v>
      </c>
      <c r="K345" s="101">
        <f t="shared" si="56"/>
        <v>0</v>
      </c>
      <c r="L345" s="143"/>
      <c r="N345" s="136">
        <f t="shared" si="63"/>
        <v>0</v>
      </c>
      <c r="O345" s="167">
        <f t="shared" si="65"/>
        <v>0</v>
      </c>
      <c r="P345" s="167">
        <f t="shared" si="65"/>
        <v>0</v>
      </c>
      <c r="Q345" s="167">
        <f t="shared" si="65"/>
        <v>0</v>
      </c>
      <c r="R345" s="206">
        <f t="shared" si="58"/>
        <v>0</v>
      </c>
      <c r="S345" s="144">
        <f t="shared" si="59"/>
        <v>0</v>
      </c>
      <c r="T345" s="144">
        <f t="shared" si="60"/>
        <v>0</v>
      </c>
      <c r="V345" s="219">
        <f t="shared" si="61"/>
        <v>0</v>
      </c>
    </row>
    <row r="346" spans="3:22" hidden="1" outlineLevel="2">
      <c r="C346" s="73" t="str">
        <v>SpareOfferC30</v>
      </c>
      <c r="F346" s="136">
        <f t="shared" si="62"/>
        <v>0</v>
      </c>
      <c r="G346" s="167">
        <f t="shared" si="64"/>
        <v>0</v>
      </c>
      <c r="H346" s="167">
        <f t="shared" si="64"/>
        <v>0</v>
      </c>
      <c r="I346" s="167">
        <f t="shared" si="64"/>
        <v>0</v>
      </c>
      <c r="J346" s="206">
        <f t="shared" si="55"/>
        <v>0</v>
      </c>
      <c r="K346" s="101">
        <f t="shared" si="56"/>
        <v>0</v>
      </c>
      <c r="L346" s="143"/>
      <c r="N346" s="136">
        <f t="shared" si="63"/>
        <v>0</v>
      </c>
      <c r="O346" s="167">
        <f t="shared" si="65"/>
        <v>0</v>
      </c>
      <c r="P346" s="167">
        <f t="shared" si="65"/>
        <v>0</v>
      </c>
      <c r="Q346" s="167">
        <f t="shared" si="65"/>
        <v>0</v>
      </c>
      <c r="R346" s="206">
        <f t="shared" si="58"/>
        <v>0</v>
      </c>
      <c r="S346" s="144">
        <f t="shared" si="59"/>
        <v>0</v>
      </c>
      <c r="T346" s="144">
        <f t="shared" si="60"/>
        <v>0</v>
      </c>
      <c r="V346" s="219">
        <f t="shared" si="61"/>
        <v>0</v>
      </c>
    </row>
    <row r="347" spans="3:22" hidden="1" outlineLevel="2">
      <c r="C347" s="73" t="str">
        <v>SpareOfferC31</v>
      </c>
      <c r="F347" s="136">
        <f t="shared" si="62"/>
        <v>0</v>
      </c>
      <c r="G347" s="167">
        <f t="shared" si="64"/>
        <v>0</v>
      </c>
      <c r="H347" s="167">
        <f t="shared" si="64"/>
        <v>0</v>
      </c>
      <c r="I347" s="167">
        <f t="shared" si="64"/>
        <v>0</v>
      </c>
      <c r="J347" s="206">
        <f t="shared" si="55"/>
        <v>0</v>
      </c>
      <c r="K347" s="101">
        <f t="shared" si="56"/>
        <v>0</v>
      </c>
      <c r="L347" s="143"/>
      <c r="N347" s="136">
        <f t="shared" si="63"/>
        <v>0</v>
      </c>
      <c r="O347" s="167">
        <f t="shared" si="65"/>
        <v>0</v>
      </c>
      <c r="P347" s="167">
        <f t="shared" si="65"/>
        <v>0</v>
      </c>
      <c r="Q347" s="167">
        <f t="shared" si="65"/>
        <v>0</v>
      </c>
      <c r="R347" s="206">
        <f t="shared" si="58"/>
        <v>0</v>
      </c>
      <c r="S347" s="144">
        <f t="shared" si="59"/>
        <v>0</v>
      </c>
      <c r="T347" s="144">
        <f t="shared" si="60"/>
        <v>0</v>
      </c>
      <c r="V347" s="219">
        <f t="shared" si="61"/>
        <v>0</v>
      </c>
    </row>
    <row r="348" spans="3:22" hidden="1" outlineLevel="2">
      <c r="C348" s="73" t="str">
        <v>SpareOfferC32</v>
      </c>
      <c r="F348" s="136">
        <f t="shared" si="62"/>
        <v>0</v>
      </c>
      <c r="G348" s="167">
        <f t="shared" si="64"/>
        <v>0</v>
      </c>
      <c r="H348" s="167">
        <f t="shared" si="64"/>
        <v>0</v>
      </c>
      <c r="I348" s="167">
        <f t="shared" si="64"/>
        <v>0</v>
      </c>
      <c r="J348" s="206">
        <f t="shared" si="55"/>
        <v>0</v>
      </c>
      <c r="K348" s="101">
        <f t="shared" si="56"/>
        <v>0</v>
      </c>
      <c r="L348" s="143"/>
      <c r="N348" s="136">
        <f t="shared" si="63"/>
        <v>0</v>
      </c>
      <c r="O348" s="167">
        <f t="shared" si="65"/>
        <v>0</v>
      </c>
      <c r="P348" s="167">
        <f t="shared" si="65"/>
        <v>0</v>
      </c>
      <c r="Q348" s="167">
        <f t="shared" si="65"/>
        <v>0</v>
      </c>
      <c r="R348" s="206">
        <f t="shared" si="58"/>
        <v>0</v>
      </c>
      <c r="S348" s="144">
        <f t="shared" si="59"/>
        <v>0</v>
      </c>
      <c r="T348" s="144">
        <f t="shared" si="60"/>
        <v>0</v>
      </c>
      <c r="V348" s="219">
        <f t="shared" si="61"/>
        <v>0</v>
      </c>
    </row>
    <row r="349" spans="3:22" hidden="1" outlineLevel="2">
      <c r="C349" s="73" t="str">
        <v>SpareOfferC33</v>
      </c>
      <c r="F349" s="136">
        <f t="shared" si="62"/>
        <v>0</v>
      </c>
      <c r="G349" s="167">
        <f t="shared" si="64"/>
        <v>0</v>
      </c>
      <c r="H349" s="167">
        <f t="shared" si="64"/>
        <v>0</v>
      </c>
      <c r="I349" s="167">
        <f t="shared" si="64"/>
        <v>0</v>
      </c>
      <c r="J349" s="206">
        <f t="shared" si="55"/>
        <v>0</v>
      </c>
      <c r="K349" s="101">
        <f t="shared" si="56"/>
        <v>0</v>
      </c>
      <c r="L349" s="143"/>
      <c r="N349" s="136">
        <f t="shared" si="63"/>
        <v>0</v>
      </c>
      <c r="O349" s="167">
        <f t="shared" si="65"/>
        <v>0</v>
      </c>
      <c r="P349" s="167">
        <f t="shared" si="65"/>
        <v>0</v>
      </c>
      <c r="Q349" s="167">
        <f t="shared" si="65"/>
        <v>0</v>
      </c>
      <c r="R349" s="206">
        <f t="shared" si="58"/>
        <v>0</v>
      </c>
      <c r="S349" s="144">
        <f t="shared" si="59"/>
        <v>0</v>
      </c>
      <c r="T349" s="144">
        <f t="shared" si="60"/>
        <v>0</v>
      </c>
      <c r="V349" s="219">
        <f t="shared" si="61"/>
        <v>0</v>
      </c>
    </row>
    <row r="350" spans="3:22" hidden="1" outlineLevel="2">
      <c r="C350" s="73" t="str">
        <v>SpareOfferC34</v>
      </c>
      <c r="F350" s="136">
        <f t="shared" si="62"/>
        <v>0</v>
      </c>
      <c r="G350" s="167">
        <f t="shared" si="64"/>
        <v>0</v>
      </c>
      <c r="H350" s="167">
        <f t="shared" si="64"/>
        <v>0</v>
      </c>
      <c r="I350" s="167">
        <f t="shared" si="64"/>
        <v>0</v>
      </c>
      <c r="J350" s="206">
        <f t="shared" si="55"/>
        <v>0</v>
      </c>
      <c r="K350" s="101">
        <f t="shared" si="56"/>
        <v>0</v>
      </c>
      <c r="L350" s="143"/>
      <c r="N350" s="136">
        <f t="shared" si="63"/>
        <v>0</v>
      </c>
      <c r="O350" s="167">
        <f t="shared" si="65"/>
        <v>0</v>
      </c>
      <c r="P350" s="167">
        <f t="shared" si="65"/>
        <v>0</v>
      </c>
      <c r="Q350" s="167">
        <f t="shared" si="65"/>
        <v>0</v>
      </c>
      <c r="R350" s="206">
        <f t="shared" si="58"/>
        <v>0</v>
      </c>
      <c r="S350" s="144">
        <f t="shared" si="59"/>
        <v>0</v>
      </c>
      <c r="T350" s="144">
        <f t="shared" si="60"/>
        <v>0</v>
      </c>
      <c r="V350" s="219">
        <f t="shared" si="61"/>
        <v>0</v>
      </c>
    </row>
    <row r="351" spans="3:22" outlineLevel="1" collapsed="1">
      <c r="C351" s="73" t="str">
        <v>SpareOfferC35</v>
      </c>
      <c r="F351" s="136">
        <f t="shared" si="62"/>
        <v>0</v>
      </c>
      <c r="G351" s="167">
        <f t="shared" si="64"/>
        <v>0</v>
      </c>
      <c r="H351" s="167">
        <f t="shared" si="64"/>
        <v>0</v>
      </c>
      <c r="I351" s="167">
        <f t="shared" si="64"/>
        <v>0</v>
      </c>
      <c r="J351" s="206">
        <f t="shared" si="55"/>
        <v>0</v>
      </c>
      <c r="K351" s="101">
        <f t="shared" si="56"/>
        <v>0</v>
      </c>
      <c r="L351" s="143"/>
      <c r="N351" s="136">
        <f t="shared" si="63"/>
        <v>0</v>
      </c>
      <c r="O351" s="167">
        <f t="shared" si="65"/>
        <v>0</v>
      </c>
      <c r="P351" s="167">
        <f t="shared" si="65"/>
        <v>0</v>
      </c>
      <c r="Q351" s="167">
        <f t="shared" si="65"/>
        <v>0</v>
      </c>
      <c r="R351" s="206">
        <f t="shared" si="58"/>
        <v>0</v>
      </c>
      <c r="S351" s="144">
        <f t="shared" si="59"/>
        <v>0</v>
      </c>
      <c r="T351" s="144">
        <f t="shared" si="60"/>
        <v>0</v>
      </c>
      <c r="V351" s="219">
        <f t="shared" si="61"/>
        <v>0</v>
      </c>
    </row>
    <row r="352" spans="3:22" ht="12" outlineLevel="1" collapsed="1">
      <c r="F352" s="43" t="s">
        <v>492</v>
      </c>
      <c r="G352" s="43" t="s">
        <v>518</v>
      </c>
      <c r="M352" s="43" t="s">
        <v>507</v>
      </c>
      <c r="N352" s="43" t="s">
        <v>488</v>
      </c>
      <c r="O352" s="43" t="s">
        <v>522</v>
      </c>
      <c r="U352" s="43" t="s">
        <v>511</v>
      </c>
      <c r="V352" s="43" t="s">
        <v>483</v>
      </c>
    </row>
    <row r="353" spans="1:20" outlineLevel="1"/>
    <row r="354" spans="1:20" s="220" customFormat="1">
      <c r="A354" s="220">
        <v>4</v>
      </c>
      <c r="B354" s="221" t="str">
        <f>INDEX(segments,A354)</f>
        <v>SpareSegmentD</v>
      </c>
      <c r="C354" s="207"/>
    </row>
    <row r="355" spans="1:20" outlineLevel="1"/>
    <row r="356" spans="1:20" outlineLevel="1">
      <c r="C356" s="35" t="s">
        <v>466</v>
      </c>
      <c r="G356" s="66" t="s">
        <v>162</v>
      </c>
      <c r="H356" s="66"/>
      <c r="I356" s="66"/>
      <c r="J356" s="66"/>
      <c r="K356" s="66"/>
      <c r="L356" s="66"/>
      <c r="O356" s="66" t="s">
        <v>164</v>
      </c>
      <c r="P356" s="66"/>
      <c r="Q356" s="66"/>
      <c r="R356" s="66"/>
      <c r="S356" s="66"/>
      <c r="T356" s="66"/>
    </row>
    <row r="357" spans="1:20" ht="26.25" customHeight="1" outlineLevel="1">
      <c r="C357" s="1" t="s">
        <v>309</v>
      </c>
      <c r="G357" s="1" t="str">
        <f t="array" ref="G357:L357">TRANSPOSE(voice.destination)</f>
        <v>On-net</v>
      </c>
      <c r="H357" s="1" t="str">
        <v>Off-net fixed</v>
      </c>
      <c r="I357" s="1" t="str">
        <v>Off-net mobile</v>
      </c>
      <c r="J357" s="1" t="str">
        <v>International</v>
      </c>
      <c r="K357" s="1" t="str">
        <v>VAS</v>
      </c>
      <c r="L357" s="1" t="str">
        <v>Not used</v>
      </c>
      <c r="O357" s="1" t="str">
        <f t="array" ref="O357:T357">TRANSPOSE(voice.destination)</f>
        <v>On-net</v>
      </c>
      <c r="P357" s="1" t="str">
        <v>Off-net fixed</v>
      </c>
      <c r="Q357" s="1" t="str">
        <v>Off-net mobile</v>
      </c>
      <c r="R357" s="1" t="str">
        <v>International</v>
      </c>
      <c r="S357" s="1" t="str">
        <v>VAS</v>
      </c>
      <c r="T357" s="1" t="str">
        <v>Not used</v>
      </c>
    </row>
    <row r="358" spans="1:20" outlineLevel="1">
      <c r="C358" s="73" t="str">
        <f t="array" ref="C358:C392">offers.segment.4</f>
        <v>SpareOfferD1</v>
      </c>
      <c r="E358" t="s">
        <v>163</v>
      </c>
      <c r="G358" s="81">
        <f t="array" ref="G358">SUM(distribution.outgoing.voice.by.destination*(offers.segment.all=$C358)*(TRANSPOSE(voice.destination.domestic)=G$357))</f>
        <v>0</v>
      </c>
      <c r="H358" s="81">
        <f t="array" ref="H358">SUM(distribution.outgoing.voice.by.destination*(offers.segment.all=$C358)*(TRANSPOSE(voice.destination.domestic)=H$357))</f>
        <v>0</v>
      </c>
      <c r="I358" s="81">
        <f t="array" ref="I358">SUM(distribution.outgoing.voice.by.destination*(offers.segment.all=$C358)*(TRANSPOSE(voice.destination.domestic)=I$357))</f>
        <v>0</v>
      </c>
      <c r="J358" s="81">
        <f t="array" ref="J358">SUM(distribution.outgoing.voice.by.destination*(offers.segment.all=$C358)*(TRANSPOSE(voice.destination.domestic)=J$357))</f>
        <v>0</v>
      </c>
      <c r="K358" s="81">
        <f t="array" ref="K358">SUM(distribution.outgoing.voice.by.destination*(offers.segment.all=$C358)*(TRANSPOSE(voice.destination.domestic)=K$357))</f>
        <v>0</v>
      </c>
      <c r="L358" s="81">
        <f t="array" ref="L358">SUM(distribution.outgoing.voice.by.destination*(offers.segment.all=$C358)*(TRANSPOSE(voice.destination.domestic)=L$357))</f>
        <v>0</v>
      </c>
      <c r="O358" s="169">
        <f t="shared" ref="O358:O392" si="66">IF(SUM($G358,$I358)=0, 0, G358/SUM($G358,$I358))</f>
        <v>0</v>
      </c>
      <c r="P358" s="103">
        <v>0</v>
      </c>
      <c r="Q358" s="169">
        <f t="shared" ref="Q358:Q392" si="67">IF(SUM($G358,$I358)=0, 0, I358/SUM($G358,$I358))</f>
        <v>0</v>
      </c>
      <c r="R358" s="143"/>
      <c r="S358" s="143"/>
      <c r="T358" s="143"/>
    </row>
    <row r="359" spans="1:20" ht="12" hidden="1" customHeight="1" outlineLevel="2">
      <c r="C359" s="73" t="str">
        <v>SpareOfferD2</v>
      </c>
      <c r="E359" t="s">
        <v>163</v>
      </c>
      <c r="G359" s="81">
        <f t="array" ref="G359">SUM(distribution.outgoing.voice.by.destination*(offers.segment.all=$C359)*(TRANSPOSE(voice.destination.domestic)=G$357))</f>
        <v>0</v>
      </c>
      <c r="H359" s="81">
        <f t="array" ref="H359">SUM(distribution.outgoing.voice.by.destination*(offers.segment.all=$C359)*(TRANSPOSE(voice.destination.domestic)=H$357))</f>
        <v>0</v>
      </c>
      <c r="I359" s="81">
        <f t="array" ref="I359">SUM(distribution.outgoing.voice.by.destination*(offers.segment.all=$C359)*(TRANSPOSE(voice.destination.domestic)=I$357))</f>
        <v>0</v>
      </c>
      <c r="J359" s="81">
        <f t="array" ref="J359">SUM(distribution.outgoing.voice.by.destination*(offers.segment.all=$C359)*(TRANSPOSE(voice.destination.domestic)=J$357))</f>
        <v>0</v>
      </c>
      <c r="K359" s="81">
        <f t="array" ref="K359">SUM(distribution.outgoing.voice.by.destination*(offers.segment.all=$C359)*(TRANSPOSE(voice.destination.domestic)=K$357))</f>
        <v>0</v>
      </c>
      <c r="L359" s="81">
        <f t="array" ref="L359">SUM(distribution.outgoing.voice.by.destination*(offers.segment.all=$C359)*(TRANSPOSE(voice.destination.domestic)=L$357))</f>
        <v>0</v>
      </c>
      <c r="O359" s="169">
        <f t="shared" si="66"/>
        <v>0</v>
      </c>
      <c r="P359" s="103">
        <v>0</v>
      </c>
      <c r="Q359" s="169">
        <f t="shared" si="67"/>
        <v>0</v>
      </c>
      <c r="R359" s="143"/>
      <c r="S359" s="143"/>
      <c r="T359" s="143"/>
    </row>
    <row r="360" spans="1:20" ht="12" hidden="1" customHeight="1" outlineLevel="2">
      <c r="C360" s="73" t="str">
        <v>SpareOfferD3</v>
      </c>
      <c r="E360" t="s">
        <v>163</v>
      </c>
      <c r="G360" s="81">
        <f t="array" ref="G360">SUM(distribution.outgoing.voice.by.destination*(offers.segment.all=$C360)*(TRANSPOSE(voice.destination.domestic)=G$357))</f>
        <v>0</v>
      </c>
      <c r="H360" s="81">
        <f t="array" ref="H360">SUM(distribution.outgoing.voice.by.destination*(offers.segment.all=$C360)*(TRANSPOSE(voice.destination.domestic)=H$357))</f>
        <v>0</v>
      </c>
      <c r="I360" s="81">
        <f t="array" ref="I360">SUM(distribution.outgoing.voice.by.destination*(offers.segment.all=$C360)*(TRANSPOSE(voice.destination.domestic)=I$357))</f>
        <v>0</v>
      </c>
      <c r="J360" s="81">
        <f t="array" ref="J360">SUM(distribution.outgoing.voice.by.destination*(offers.segment.all=$C360)*(TRANSPOSE(voice.destination.domestic)=J$357))</f>
        <v>0</v>
      </c>
      <c r="K360" s="81">
        <f t="array" ref="K360">SUM(distribution.outgoing.voice.by.destination*(offers.segment.all=$C360)*(TRANSPOSE(voice.destination.domestic)=K$357))</f>
        <v>0</v>
      </c>
      <c r="L360" s="81">
        <f t="array" ref="L360">SUM(distribution.outgoing.voice.by.destination*(offers.segment.all=$C360)*(TRANSPOSE(voice.destination.domestic)=L$357))</f>
        <v>0</v>
      </c>
      <c r="O360" s="169">
        <f t="shared" si="66"/>
        <v>0</v>
      </c>
      <c r="P360" s="103">
        <v>0</v>
      </c>
      <c r="Q360" s="169">
        <f t="shared" si="67"/>
        <v>0</v>
      </c>
      <c r="R360" s="143"/>
      <c r="S360" s="143"/>
      <c r="T360" s="143"/>
    </row>
    <row r="361" spans="1:20" ht="12" hidden="1" customHeight="1" outlineLevel="2">
      <c r="C361" s="73" t="str">
        <v>SpareOfferD4</v>
      </c>
      <c r="E361" t="s">
        <v>163</v>
      </c>
      <c r="G361" s="81">
        <f t="array" ref="G361">SUM(distribution.outgoing.voice.by.destination*(offers.segment.all=$C361)*(TRANSPOSE(voice.destination.domestic)=G$357))</f>
        <v>0</v>
      </c>
      <c r="H361" s="81">
        <f t="array" ref="H361">SUM(distribution.outgoing.voice.by.destination*(offers.segment.all=$C361)*(TRANSPOSE(voice.destination.domestic)=H$357))</f>
        <v>0</v>
      </c>
      <c r="I361" s="81">
        <f t="array" ref="I361">SUM(distribution.outgoing.voice.by.destination*(offers.segment.all=$C361)*(TRANSPOSE(voice.destination.domestic)=I$357))</f>
        <v>0</v>
      </c>
      <c r="J361" s="81">
        <f t="array" ref="J361">SUM(distribution.outgoing.voice.by.destination*(offers.segment.all=$C361)*(TRANSPOSE(voice.destination.domestic)=J$357))</f>
        <v>0</v>
      </c>
      <c r="K361" s="81">
        <f t="array" ref="K361">SUM(distribution.outgoing.voice.by.destination*(offers.segment.all=$C361)*(TRANSPOSE(voice.destination.domestic)=K$357))</f>
        <v>0</v>
      </c>
      <c r="L361" s="81">
        <f t="array" ref="L361">SUM(distribution.outgoing.voice.by.destination*(offers.segment.all=$C361)*(TRANSPOSE(voice.destination.domestic)=L$357))</f>
        <v>0</v>
      </c>
      <c r="O361" s="169">
        <f t="shared" si="66"/>
        <v>0</v>
      </c>
      <c r="P361" s="103">
        <v>0</v>
      </c>
      <c r="Q361" s="169">
        <f t="shared" si="67"/>
        <v>0</v>
      </c>
      <c r="R361" s="143"/>
      <c r="S361" s="143"/>
      <c r="T361" s="143"/>
    </row>
    <row r="362" spans="1:20" ht="12" hidden="1" customHeight="1" outlineLevel="2">
      <c r="C362" s="73" t="str">
        <v>SpareOfferD5</v>
      </c>
      <c r="E362" t="s">
        <v>163</v>
      </c>
      <c r="G362" s="81">
        <f t="array" ref="G362">SUM(distribution.outgoing.voice.by.destination*(offers.segment.all=$C362)*(TRANSPOSE(voice.destination.domestic)=G$357))</f>
        <v>0</v>
      </c>
      <c r="H362" s="81">
        <f t="array" ref="H362">SUM(distribution.outgoing.voice.by.destination*(offers.segment.all=$C362)*(TRANSPOSE(voice.destination.domestic)=H$357))</f>
        <v>0</v>
      </c>
      <c r="I362" s="81">
        <f t="array" ref="I362">SUM(distribution.outgoing.voice.by.destination*(offers.segment.all=$C362)*(TRANSPOSE(voice.destination.domestic)=I$357))</f>
        <v>0</v>
      </c>
      <c r="J362" s="81">
        <f t="array" ref="J362">SUM(distribution.outgoing.voice.by.destination*(offers.segment.all=$C362)*(TRANSPOSE(voice.destination.domestic)=J$357))</f>
        <v>0</v>
      </c>
      <c r="K362" s="81">
        <f t="array" ref="K362">SUM(distribution.outgoing.voice.by.destination*(offers.segment.all=$C362)*(TRANSPOSE(voice.destination.domestic)=K$357))</f>
        <v>0</v>
      </c>
      <c r="L362" s="81">
        <f t="array" ref="L362">SUM(distribution.outgoing.voice.by.destination*(offers.segment.all=$C362)*(TRANSPOSE(voice.destination.domestic)=L$357))</f>
        <v>0</v>
      </c>
      <c r="O362" s="169">
        <f t="shared" si="66"/>
        <v>0</v>
      </c>
      <c r="P362" s="103">
        <v>0</v>
      </c>
      <c r="Q362" s="169">
        <f t="shared" si="67"/>
        <v>0</v>
      </c>
      <c r="R362" s="143"/>
      <c r="S362" s="143"/>
      <c r="T362" s="143"/>
    </row>
    <row r="363" spans="1:20" ht="12" hidden="1" customHeight="1" outlineLevel="2">
      <c r="C363" s="73" t="str">
        <v>SpareOfferD6</v>
      </c>
      <c r="E363" t="s">
        <v>163</v>
      </c>
      <c r="G363" s="81">
        <f t="array" ref="G363">SUM(distribution.outgoing.voice.by.destination*(offers.segment.all=$C363)*(TRANSPOSE(voice.destination.domestic)=G$357))</f>
        <v>0</v>
      </c>
      <c r="H363" s="81">
        <f t="array" ref="H363">SUM(distribution.outgoing.voice.by.destination*(offers.segment.all=$C363)*(TRANSPOSE(voice.destination.domestic)=H$357))</f>
        <v>0</v>
      </c>
      <c r="I363" s="81">
        <f t="array" ref="I363">SUM(distribution.outgoing.voice.by.destination*(offers.segment.all=$C363)*(TRANSPOSE(voice.destination.domestic)=I$357))</f>
        <v>0</v>
      </c>
      <c r="J363" s="81">
        <f t="array" ref="J363">SUM(distribution.outgoing.voice.by.destination*(offers.segment.all=$C363)*(TRANSPOSE(voice.destination.domestic)=J$357))</f>
        <v>0</v>
      </c>
      <c r="K363" s="81">
        <f t="array" ref="K363">SUM(distribution.outgoing.voice.by.destination*(offers.segment.all=$C363)*(TRANSPOSE(voice.destination.domestic)=K$357))</f>
        <v>0</v>
      </c>
      <c r="L363" s="81">
        <f t="array" ref="L363">SUM(distribution.outgoing.voice.by.destination*(offers.segment.all=$C363)*(TRANSPOSE(voice.destination.domestic)=L$357))</f>
        <v>0</v>
      </c>
      <c r="O363" s="169">
        <f t="shared" si="66"/>
        <v>0</v>
      </c>
      <c r="P363" s="103">
        <v>0</v>
      </c>
      <c r="Q363" s="169">
        <f t="shared" si="67"/>
        <v>0</v>
      </c>
      <c r="R363" s="143"/>
      <c r="S363" s="143"/>
      <c r="T363" s="143"/>
    </row>
    <row r="364" spans="1:20" ht="12" hidden="1" customHeight="1" outlineLevel="2">
      <c r="C364" s="73" t="str">
        <v>SpareOfferD7</v>
      </c>
      <c r="E364" t="s">
        <v>163</v>
      </c>
      <c r="G364" s="81">
        <f t="array" ref="G364">SUM(distribution.outgoing.voice.by.destination*(offers.segment.all=$C364)*(TRANSPOSE(voice.destination.domestic)=G$357))</f>
        <v>0</v>
      </c>
      <c r="H364" s="81">
        <f t="array" ref="H364">SUM(distribution.outgoing.voice.by.destination*(offers.segment.all=$C364)*(TRANSPOSE(voice.destination.domestic)=H$357))</f>
        <v>0</v>
      </c>
      <c r="I364" s="81">
        <f t="array" ref="I364">SUM(distribution.outgoing.voice.by.destination*(offers.segment.all=$C364)*(TRANSPOSE(voice.destination.domestic)=I$357))</f>
        <v>0</v>
      </c>
      <c r="J364" s="81">
        <f t="array" ref="J364">SUM(distribution.outgoing.voice.by.destination*(offers.segment.all=$C364)*(TRANSPOSE(voice.destination.domestic)=J$357))</f>
        <v>0</v>
      </c>
      <c r="K364" s="81">
        <f t="array" ref="K364">SUM(distribution.outgoing.voice.by.destination*(offers.segment.all=$C364)*(TRANSPOSE(voice.destination.domestic)=K$357))</f>
        <v>0</v>
      </c>
      <c r="L364" s="81">
        <f t="array" ref="L364">SUM(distribution.outgoing.voice.by.destination*(offers.segment.all=$C364)*(TRANSPOSE(voice.destination.domestic)=L$357))</f>
        <v>0</v>
      </c>
      <c r="O364" s="169">
        <f t="shared" si="66"/>
        <v>0</v>
      </c>
      <c r="P364" s="103">
        <v>0</v>
      </c>
      <c r="Q364" s="169">
        <f t="shared" si="67"/>
        <v>0</v>
      </c>
      <c r="R364" s="143"/>
      <c r="S364" s="143"/>
      <c r="T364" s="143"/>
    </row>
    <row r="365" spans="1:20" ht="12" hidden="1" customHeight="1" outlineLevel="2">
      <c r="C365" s="73" t="str">
        <v>SpareOfferD8</v>
      </c>
      <c r="E365" t="s">
        <v>163</v>
      </c>
      <c r="G365" s="81">
        <f t="array" ref="G365">SUM(distribution.outgoing.voice.by.destination*(offers.segment.all=$C365)*(TRANSPOSE(voice.destination.domestic)=G$357))</f>
        <v>0</v>
      </c>
      <c r="H365" s="81">
        <f t="array" ref="H365">SUM(distribution.outgoing.voice.by.destination*(offers.segment.all=$C365)*(TRANSPOSE(voice.destination.domestic)=H$357))</f>
        <v>0</v>
      </c>
      <c r="I365" s="81">
        <f t="array" ref="I365">SUM(distribution.outgoing.voice.by.destination*(offers.segment.all=$C365)*(TRANSPOSE(voice.destination.domestic)=I$357))</f>
        <v>0</v>
      </c>
      <c r="J365" s="81">
        <f t="array" ref="J365">SUM(distribution.outgoing.voice.by.destination*(offers.segment.all=$C365)*(TRANSPOSE(voice.destination.domestic)=J$357))</f>
        <v>0</v>
      </c>
      <c r="K365" s="81">
        <f t="array" ref="K365">SUM(distribution.outgoing.voice.by.destination*(offers.segment.all=$C365)*(TRANSPOSE(voice.destination.domestic)=K$357))</f>
        <v>0</v>
      </c>
      <c r="L365" s="81">
        <f t="array" ref="L365">SUM(distribution.outgoing.voice.by.destination*(offers.segment.all=$C365)*(TRANSPOSE(voice.destination.domestic)=L$357))</f>
        <v>0</v>
      </c>
      <c r="O365" s="169">
        <f t="shared" si="66"/>
        <v>0</v>
      </c>
      <c r="P365" s="103">
        <v>0</v>
      </c>
      <c r="Q365" s="169">
        <f t="shared" si="67"/>
        <v>0</v>
      </c>
      <c r="R365" s="143"/>
      <c r="S365" s="143"/>
      <c r="T365" s="143"/>
    </row>
    <row r="366" spans="1:20" ht="12" hidden="1" customHeight="1" outlineLevel="2">
      <c r="C366" s="73" t="str">
        <v>SpareOfferD9</v>
      </c>
      <c r="E366" t="s">
        <v>163</v>
      </c>
      <c r="G366" s="81">
        <f t="array" ref="G366">SUM(distribution.outgoing.voice.by.destination*(offers.segment.all=$C366)*(TRANSPOSE(voice.destination.domestic)=G$357))</f>
        <v>0</v>
      </c>
      <c r="H366" s="81">
        <f t="array" ref="H366">SUM(distribution.outgoing.voice.by.destination*(offers.segment.all=$C366)*(TRANSPOSE(voice.destination.domestic)=H$357))</f>
        <v>0</v>
      </c>
      <c r="I366" s="81">
        <f t="array" ref="I366">SUM(distribution.outgoing.voice.by.destination*(offers.segment.all=$C366)*(TRANSPOSE(voice.destination.domestic)=I$357))</f>
        <v>0</v>
      </c>
      <c r="J366" s="81">
        <f t="array" ref="J366">SUM(distribution.outgoing.voice.by.destination*(offers.segment.all=$C366)*(TRANSPOSE(voice.destination.domestic)=J$357))</f>
        <v>0</v>
      </c>
      <c r="K366" s="81">
        <f t="array" ref="K366">SUM(distribution.outgoing.voice.by.destination*(offers.segment.all=$C366)*(TRANSPOSE(voice.destination.domestic)=K$357))</f>
        <v>0</v>
      </c>
      <c r="L366" s="81">
        <f t="array" ref="L366">SUM(distribution.outgoing.voice.by.destination*(offers.segment.all=$C366)*(TRANSPOSE(voice.destination.domestic)=L$357))</f>
        <v>0</v>
      </c>
      <c r="O366" s="169">
        <f t="shared" si="66"/>
        <v>0</v>
      </c>
      <c r="P366" s="103">
        <v>0</v>
      </c>
      <c r="Q366" s="169">
        <f t="shared" si="67"/>
        <v>0</v>
      </c>
      <c r="R366" s="143"/>
      <c r="S366" s="143"/>
      <c r="T366" s="143"/>
    </row>
    <row r="367" spans="1:20" ht="12" hidden="1" customHeight="1" outlineLevel="2">
      <c r="C367" s="73" t="str">
        <v>SpareOfferD10</v>
      </c>
      <c r="E367" t="s">
        <v>163</v>
      </c>
      <c r="G367" s="81">
        <f t="array" ref="G367">SUM(distribution.outgoing.voice.by.destination*(offers.segment.all=$C367)*(TRANSPOSE(voice.destination.domestic)=G$357))</f>
        <v>0</v>
      </c>
      <c r="H367" s="81">
        <f t="array" ref="H367">SUM(distribution.outgoing.voice.by.destination*(offers.segment.all=$C367)*(TRANSPOSE(voice.destination.domestic)=H$357))</f>
        <v>0</v>
      </c>
      <c r="I367" s="81">
        <f t="array" ref="I367">SUM(distribution.outgoing.voice.by.destination*(offers.segment.all=$C367)*(TRANSPOSE(voice.destination.domestic)=I$357))</f>
        <v>0</v>
      </c>
      <c r="J367" s="81">
        <f t="array" ref="J367">SUM(distribution.outgoing.voice.by.destination*(offers.segment.all=$C367)*(TRANSPOSE(voice.destination.domestic)=J$357))</f>
        <v>0</v>
      </c>
      <c r="K367" s="81">
        <f t="array" ref="K367">SUM(distribution.outgoing.voice.by.destination*(offers.segment.all=$C367)*(TRANSPOSE(voice.destination.domestic)=K$357))</f>
        <v>0</v>
      </c>
      <c r="L367" s="81">
        <f t="array" ref="L367">SUM(distribution.outgoing.voice.by.destination*(offers.segment.all=$C367)*(TRANSPOSE(voice.destination.domestic)=L$357))</f>
        <v>0</v>
      </c>
      <c r="O367" s="169">
        <f t="shared" si="66"/>
        <v>0</v>
      </c>
      <c r="P367" s="103">
        <v>0</v>
      </c>
      <c r="Q367" s="169">
        <f t="shared" si="67"/>
        <v>0</v>
      </c>
      <c r="R367" s="143"/>
      <c r="S367" s="143"/>
      <c r="T367" s="143"/>
    </row>
    <row r="368" spans="1:20" ht="12" hidden="1" customHeight="1" outlineLevel="2">
      <c r="C368" s="73" t="str">
        <v>SpareOfferD11</v>
      </c>
      <c r="E368" t="s">
        <v>163</v>
      </c>
      <c r="G368" s="81">
        <f t="array" ref="G368">SUM(distribution.outgoing.voice.by.destination*(offers.segment.all=$C368)*(TRANSPOSE(voice.destination.domestic)=G$357))</f>
        <v>0</v>
      </c>
      <c r="H368" s="81">
        <f t="array" ref="H368">SUM(distribution.outgoing.voice.by.destination*(offers.segment.all=$C368)*(TRANSPOSE(voice.destination.domestic)=H$357))</f>
        <v>0</v>
      </c>
      <c r="I368" s="81">
        <f t="array" ref="I368">SUM(distribution.outgoing.voice.by.destination*(offers.segment.all=$C368)*(TRANSPOSE(voice.destination.domestic)=I$357))</f>
        <v>0</v>
      </c>
      <c r="J368" s="81">
        <f t="array" ref="J368">SUM(distribution.outgoing.voice.by.destination*(offers.segment.all=$C368)*(TRANSPOSE(voice.destination.domestic)=J$357))</f>
        <v>0</v>
      </c>
      <c r="K368" s="81">
        <f t="array" ref="K368">SUM(distribution.outgoing.voice.by.destination*(offers.segment.all=$C368)*(TRANSPOSE(voice.destination.domestic)=K$357))</f>
        <v>0</v>
      </c>
      <c r="L368" s="81">
        <f t="array" ref="L368">SUM(distribution.outgoing.voice.by.destination*(offers.segment.all=$C368)*(TRANSPOSE(voice.destination.domestic)=L$357))</f>
        <v>0</v>
      </c>
      <c r="O368" s="169">
        <f t="shared" si="66"/>
        <v>0</v>
      </c>
      <c r="P368" s="103">
        <v>0</v>
      </c>
      <c r="Q368" s="169">
        <f t="shared" si="67"/>
        <v>0</v>
      </c>
      <c r="R368" s="143"/>
      <c r="S368" s="143"/>
      <c r="T368" s="143"/>
    </row>
    <row r="369" spans="3:20" ht="12" hidden="1" customHeight="1" outlineLevel="2">
      <c r="C369" s="73" t="str">
        <v>SpareOfferD12</v>
      </c>
      <c r="E369" t="s">
        <v>163</v>
      </c>
      <c r="G369" s="81">
        <f t="array" ref="G369">SUM(distribution.outgoing.voice.by.destination*(offers.segment.all=$C369)*(TRANSPOSE(voice.destination.domestic)=G$357))</f>
        <v>0</v>
      </c>
      <c r="H369" s="81">
        <f t="array" ref="H369">SUM(distribution.outgoing.voice.by.destination*(offers.segment.all=$C369)*(TRANSPOSE(voice.destination.domestic)=H$357))</f>
        <v>0</v>
      </c>
      <c r="I369" s="81">
        <f t="array" ref="I369">SUM(distribution.outgoing.voice.by.destination*(offers.segment.all=$C369)*(TRANSPOSE(voice.destination.domestic)=I$357))</f>
        <v>0</v>
      </c>
      <c r="J369" s="81">
        <f t="array" ref="J369">SUM(distribution.outgoing.voice.by.destination*(offers.segment.all=$C369)*(TRANSPOSE(voice.destination.domestic)=J$357))</f>
        <v>0</v>
      </c>
      <c r="K369" s="81">
        <f t="array" ref="K369">SUM(distribution.outgoing.voice.by.destination*(offers.segment.all=$C369)*(TRANSPOSE(voice.destination.domestic)=K$357))</f>
        <v>0</v>
      </c>
      <c r="L369" s="81">
        <f t="array" ref="L369">SUM(distribution.outgoing.voice.by.destination*(offers.segment.all=$C369)*(TRANSPOSE(voice.destination.domestic)=L$357))</f>
        <v>0</v>
      </c>
      <c r="O369" s="169">
        <f t="shared" si="66"/>
        <v>0</v>
      </c>
      <c r="P369" s="103">
        <v>0</v>
      </c>
      <c r="Q369" s="169">
        <f t="shared" si="67"/>
        <v>0</v>
      </c>
      <c r="R369" s="143"/>
      <c r="S369" s="143"/>
      <c r="T369" s="143"/>
    </row>
    <row r="370" spans="3:20" ht="12" hidden="1" customHeight="1" outlineLevel="2">
      <c r="C370" s="73" t="str">
        <v>SpareOfferD13</v>
      </c>
      <c r="E370" t="s">
        <v>163</v>
      </c>
      <c r="G370" s="81">
        <f t="array" ref="G370">SUM(distribution.outgoing.voice.by.destination*(offers.segment.all=$C370)*(TRANSPOSE(voice.destination.domestic)=G$357))</f>
        <v>0</v>
      </c>
      <c r="H370" s="81">
        <f t="array" ref="H370">SUM(distribution.outgoing.voice.by.destination*(offers.segment.all=$C370)*(TRANSPOSE(voice.destination.domestic)=H$357))</f>
        <v>0</v>
      </c>
      <c r="I370" s="81">
        <f t="array" ref="I370">SUM(distribution.outgoing.voice.by.destination*(offers.segment.all=$C370)*(TRANSPOSE(voice.destination.domestic)=I$357))</f>
        <v>0</v>
      </c>
      <c r="J370" s="81">
        <f t="array" ref="J370">SUM(distribution.outgoing.voice.by.destination*(offers.segment.all=$C370)*(TRANSPOSE(voice.destination.domestic)=J$357))</f>
        <v>0</v>
      </c>
      <c r="K370" s="81">
        <f t="array" ref="K370">SUM(distribution.outgoing.voice.by.destination*(offers.segment.all=$C370)*(TRANSPOSE(voice.destination.domestic)=K$357))</f>
        <v>0</v>
      </c>
      <c r="L370" s="81">
        <f t="array" ref="L370">SUM(distribution.outgoing.voice.by.destination*(offers.segment.all=$C370)*(TRANSPOSE(voice.destination.domestic)=L$357))</f>
        <v>0</v>
      </c>
      <c r="O370" s="169">
        <f t="shared" si="66"/>
        <v>0</v>
      </c>
      <c r="P370" s="103">
        <v>0</v>
      </c>
      <c r="Q370" s="169">
        <f t="shared" si="67"/>
        <v>0</v>
      </c>
      <c r="R370" s="143"/>
      <c r="S370" s="143"/>
      <c r="T370" s="143"/>
    </row>
    <row r="371" spans="3:20" ht="12" hidden="1" customHeight="1" outlineLevel="2">
      <c r="C371" s="73" t="str">
        <v>SpareOfferD14</v>
      </c>
      <c r="E371" t="s">
        <v>163</v>
      </c>
      <c r="G371" s="81">
        <f t="array" ref="G371">SUM(distribution.outgoing.voice.by.destination*(offers.segment.all=$C371)*(TRANSPOSE(voice.destination.domestic)=G$357))</f>
        <v>0</v>
      </c>
      <c r="H371" s="81">
        <f t="array" ref="H371">SUM(distribution.outgoing.voice.by.destination*(offers.segment.all=$C371)*(TRANSPOSE(voice.destination.domestic)=H$357))</f>
        <v>0</v>
      </c>
      <c r="I371" s="81">
        <f t="array" ref="I371">SUM(distribution.outgoing.voice.by.destination*(offers.segment.all=$C371)*(TRANSPOSE(voice.destination.domestic)=I$357))</f>
        <v>0</v>
      </c>
      <c r="J371" s="81">
        <f t="array" ref="J371">SUM(distribution.outgoing.voice.by.destination*(offers.segment.all=$C371)*(TRANSPOSE(voice.destination.domestic)=J$357))</f>
        <v>0</v>
      </c>
      <c r="K371" s="81">
        <f t="array" ref="K371">SUM(distribution.outgoing.voice.by.destination*(offers.segment.all=$C371)*(TRANSPOSE(voice.destination.domestic)=K$357))</f>
        <v>0</v>
      </c>
      <c r="L371" s="81">
        <f t="array" ref="L371">SUM(distribution.outgoing.voice.by.destination*(offers.segment.all=$C371)*(TRANSPOSE(voice.destination.domestic)=L$357))</f>
        <v>0</v>
      </c>
      <c r="O371" s="169">
        <f t="shared" si="66"/>
        <v>0</v>
      </c>
      <c r="P371" s="103">
        <v>0</v>
      </c>
      <c r="Q371" s="169">
        <f t="shared" si="67"/>
        <v>0</v>
      </c>
      <c r="R371" s="143"/>
      <c r="S371" s="143"/>
      <c r="T371" s="143"/>
    </row>
    <row r="372" spans="3:20" ht="12" hidden="1" customHeight="1" outlineLevel="2">
      <c r="C372" s="73" t="str">
        <v>SpareOfferD15</v>
      </c>
      <c r="E372" t="s">
        <v>163</v>
      </c>
      <c r="G372" s="81">
        <f t="array" ref="G372">SUM(distribution.outgoing.voice.by.destination*(offers.segment.all=$C372)*(TRANSPOSE(voice.destination.domestic)=G$357))</f>
        <v>0</v>
      </c>
      <c r="H372" s="81">
        <f t="array" ref="H372">SUM(distribution.outgoing.voice.by.destination*(offers.segment.all=$C372)*(TRANSPOSE(voice.destination.domestic)=H$357))</f>
        <v>0</v>
      </c>
      <c r="I372" s="81">
        <f t="array" ref="I372">SUM(distribution.outgoing.voice.by.destination*(offers.segment.all=$C372)*(TRANSPOSE(voice.destination.domestic)=I$357))</f>
        <v>0</v>
      </c>
      <c r="J372" s="81">
        <f t="array" ref="J372">SUM(distribution.outgoing.voice.by.destination*(offers.segment.all=$C372)*(TRANSPOSE(voice.destination.domestic)=J$357))</f>
        <v>0</v>
      </c>
      <c r="K372" s="81">
        <f t="array" ref="K372">SUM(distribution.outgoing.voice.by.destination*(offers.segment.all=$C372)*(TRANSPOSE(voice.destination.domestic)=K$357))</f>
        <v>0</v>
      </c>
      <c r="L372" s="81">
        <f t="array" ref="L372">SUM(distribution.outgoing.voice.by.destination*(offers.segment.all=$C372)*(TRANSPOSE(voice.destination.domestic)=L$357))</f>
        <v>0</v>
      </c>
      <c r="O372" s="169">
        <f t="shared" si="66"/>
        <v>0</v>
      </c>
      <c r="P372" s="103">
        <v>0</v>
      </c>
      <c r="Q372" s="169">
        <f t="shared" si="67"/>
        <v>0</v>
      </c>
      <c r="R372" s="143"/>
      <c r="S372" s="143"/>
      <c r="T372" s="143"/>
    </row>
    <row r="373" spans="3:20" ht="12" hidden="1" customHeight="1" outlineLevel="2">
      <c r="C373" s="73" t="str">
        <v>SpareOfferD16</v>
      </c>
      <c r="E373" t="s">
        <v>163</v>
      </c>
      <c r="G373" s="81">
        <f t="array" ref="G373">SUM(distribution.outgoing.voice.by.destination*(offers.segment.all=$C373)*(TRANSPOSE(voice.destination.domestic)=G$357))</f>
        <v>0</v>
      </c>
      <c r="H373" s="81">
        <f t="array" ref="H373">SUM(distribution.outgoing.voice.by.destination*(offers.segment.all=$C373)*(TRANSPOSE(voice.destination.domestic)=H$357))</f>
        <v>0</v>
      </c>
      <c r="I373" s="81">
        <f t="array" ref="I373">SUM(distribution.outgoing.voice.by.destination*(offers.segment.all=$C373)*(TRANSPOSE(voice.destination.domestic)=I$357))</f>
        <v>0</v>
      </c>
      <c r="J373" s="81">
        <f t="array" ref="J373">SUM(distribution.outgoing.voice.by.destination*(offers.segment.all=$C373)*(TRANSPOSE(voice.destination.domestic)=J$357))</f>
        <v>0</v>
      </c>
      <c r="K373" s="81">
        <f t="array" ref="K373">SUM(distribution.outgoing.voice.by.destination*(offers.segment.all=$C373)*(TRANSPOSE(voice.destination.domestic)=K$357))</f>
        <v>0</v>
      </c>
      <c r="L373" s="81">
        <f t="array" ref="L373">SUM(distribution.outgoing.voice.by.destination*(offers.segment.all=$C373)*(TRANSPOSE(voice.destination.domestic)=L$357))</f>
        <v>0</v>
      </c>
      <c r="O373" s="169">
        <f t="shared" si="66"/>
        <v>0</v>
      </c>
      <c r="P373" s="103">
        <v>0</v>
      </c>
      <c r="Q373" s="169">
        <f t="shared" si="67"/>
        <v>0</v>
      </c>
      <c r="R373" s="143"/>
      <c r="S373" s="143"/>
      <c r="T373" s="143"/>
    </row>
    <row r="374" spans="3:20" ht="12" hidden="1" customHeight="1" outlineLevel="2">
      <c r="C374" s="73" t="str">
        <v>SpareOfferD17</v>
      </c>
      <c r="E374" t="s">
        <v>163</v>
      </c>
      <c r="G374" s="81">
        <f t="array" ref="G374">SUM(distribution.outgoing.voice.by.destination*(offers.segment.all=$C374)*(TRANSPOSE(voice.destination.domestic)=G$357))</f>
        <v>0</v>
      </c>
      <c r="H374" s="81">
        <f t="array" ref="H374">SUM(distribution.outgoing.voice.by.destination*(offers.segment.all=$C374)*(TRANSPOSE(voice.destination.domestic)=H$357))</f>
        <v>0</v>
      </c>
      <c r="I374" s="81">
        <f t="array" ref="I374">SUM(distribution.outgoing.voice.by.destination*(offers.segment.all=$C374)*(TRANSPOSE(voice.destination.domestic)=I$357))</f>
        <v>0</v>
      </c>
      <c r="J374" s="81">
        <f t="array" ref="J374">SUM(distribution.outgoing.voice.by.destination*(offers.segment.all=$C374)*(TRANSPOSE(voice.destination.domestic)=J$357))</f>
        <v>0</v>
      </c>
      <c r="K374" s="81">
        <f t="array" ref="K374">SUM(distribution.outgoing.voice.by.destination*(offers.segment.all=$C374)*(TRANSPOSE(voice.destination.domestic)=K$357))</f>
        <v>0</v>
      </c>
      <c r="L374" s="81">
        <f t="array" ref="L374">SUM(distribution.outgoing.voice.by.destination*(offers.segment.all=$C374)*(TRANSPOSE(voice.destination.domestic)=L$357))</f>
        <v>0</v>
      </c>
      <c r="O374" s="169">
        <f t="shared" si="66"/>
        <v>0</v>
      </c>
      <c r="P374" s="103">
        <v>0</v>
      </c>
      <c r="Q374" s="169">
        <f t="shared" si="67"/>
        <v>0</v>
      </c>
      <c r="R374" s="143"/>
      <c r="S374" s="143"/>
      <c r="T374" s="143"/>
    </row>
    <row r="375" spans="3:20" ht="12" hidden="1" customHeight="1" outlineLevel="2">
      <c r="C375" s="73" t="str">
        <v>SpareOfferD18</v>
      </c>
      <c r="E375" t="s">
        <v>163</v>
      </c>
      <c r="G375" s="81">
        <f t="array" ref="G375">SUM(distribution.outgoing.voice.by.destination*(offers.segment.all=$C375)*(TRANSPOSE(voice.destination.domestic)=G$357))</f>
        <v>0</v>
      </c>
      <c r="H375" s="81">
        <f t="array" ref="H375">SUM(distribution.outgoing.voice.by.destination*(offers.segment.all=$C375)*(TRANSPOSE(voice.destination.domestic)=H$357))</f>
        <v>0</v>
      </c>
      <c r="I375" s="81">
        <f t="array" ref="I375">SUM(distribution.outgoing.voice.by.destination*(offers.segment.all=$C375)*(TRANSPOSE(voice.destination.domestic)=I$357))</f>
        <v>0</v>
      </c>
      <c r="J375" s="81">
        <f t="array" ref="J375">SUM(distribution.outgoing.voice.by.destination*(offers.segment.all=$C375)*(TRANSPOSE(voice.destination.domestic)=J$357))</f>
        <v>0</v>
      </c>
      <c r="K375" s="81">
        <f t="array" ref="K375">SUM(distribution.outgoing.voice.by.destination*(offers.segment.all=$C375)*(TRANSPOSE(voice.destination.domestic)=K$357))</f>
        <v>0</v>
      </c>
      <c r="L375" s="81">
        <f t="array" ref="L375">SUM(distribution.outgoing.voice.by.destination*(offers.segment.all=$C375)*(TRANSPOSE(voice.destination.domestic)=L$357))</f>
        <v>0</v>
      </c>
      <c r="O375" s="169">
        <f t="shared" si="66"/>
        <v>0</v>
      </c>
      <c r="P375" s="103">
        <v>0</v>
      </c>
      <c r="Q375" s="169">
        <f t="shared" si="67"/>
        <v>0</v>
      </c>
      <c r="R375" s="143"/>
      <c r="S375" s="143"/>
      <c r="T375" s="143"/>
    </row>
    <row r="376" spans="3:20" ht="12" hidden="1" customHeight="1" outlineLevel="2">
      <c r="C376" s="73" t="str">
        <v>SpareOfferD19</v>
      </c>
      <c r="E376" t="s">
        <v>163</v>
      </c>
      <c r="G376" s="81">
        <f t="array" ref="G376">SUM(distribution.outgoing.voice.by.destination*(offers.segment.all=$C376)*(TRANSPOSE(voice.destination.domestic)=G$357))</f>
        <v>0</v>
      </c>
      <c r="H376" s="81">
        <f t="array" ref="H376">SUM(distribution.outgoing.voice.by.destination*(offers.segment.all=$C376)*(TRANSPOSE(voice.destination.domestic)=H$357))</f>
        <v>0</v>
      </c>
      <c r="I376" s="81">
        <f t="array" ref="I376">SUM(distribution.outgoing.voice.by.destination*(offers.segment.all=$C376)*(TRANSPOSE(voice.destination.domestic)=I$357))</f>
        <v>0</v>
      </c>
      <c r="J376" s="81">
        <f t="array" ref="J376">SUM(distribution.outgoing.voice.by.destination*(offers.segment.all=$C376)*(TRANSPOSE(voice.destination.domestic)=J$357))</f>
        <v>0</v>
      </c>
      <c r="K376" s="81">
        <f t="array" ref="K376">SUM(distribution.outgoing.voice.by.destination*(offers.segment.all=$C376)*(TRANSPOSE(voice.destination.domestic)=K$357))</f>
        <v>0</v>
      </c>
      <c r="L376" s="81">
        <f t="array" ref="L376">SUM(distribution.outgoing.voice.by.destination*(offers.segment.all=$C376)*(TRANSPOSE(voice.destination.domestic)=L$357))</f>
        <v>0</v>
      </c>
      <c r="O376" s="169">
        <f t="shared" si="66"/>
        <v>0</v>
      </c>
      <c r="P376" s="103">
        <v>0</v>
      </c>
      <c r="Q376" s="169">
        <f t="shared" si="67"/>
        <v>0</v>
      </c>
      <c r="R376" s="143"/>
      <c r="S376" s="143"/>
      <c r="T376" s="143"/>
    </row>
    <row r="377" spans="3:20" ht="12" hidden="1" customHeight="1" outlineLevel="2">
      <c r="C377" s="73" t="str">
        <v>SpareOfferD20</v>
      </c>
      <c r="E377" t="s">
        <v>163</v>
      </c>
      <c r="G377" s="81">
        <f t="array" ref="G377">SUM(distribution.outgoing.voice.by.destination*(offers.segment.all=$C377)*(TRANSPOSE(voice.destination.domestic)=G$357))</f>
        <v>0</v>
      </c>
      <c r="H377" s="81">
        <f t="array" ref="H377">SUM(distribution.outgoing.voice.by.destination*(offers.segment.all=$C377)*(TRANSPOSE(voice.destination.domestic)=H$357))</f>
        <v>0</v>
      </c>
      <c r="I377" s="81">
        <f t="array" ref="I377">SUM(distribution.outgoing.voice.by.destination*(offers.segment.all=$C377)*(TRANSPOSE(voice.destination.domestic)=I$357))</f>
        <v>0</v>
      </c>
      <c r="J377" s="81">
        <f t="array" ref="J377">SUM(distribution.outgoing.voice.by.destination*(offers.segment.all=$C377)*(TRANSPOSE(voice.destination.domestic)=J$357))</f>
        <v>0</v>
      </c>
      <c r="K377" s="81">
        <f t="array" ref="K377">SUM(distribution.outgoing.voice.by.destination*(offers.segment.all=$C377)*(TRANSPOSE(voice.destination.domestic)=K$357))</f>
        <v>0</v>
      </c>
      <c r="L377" s="81">
        <f t="array" ref="L377">SUM(distribution.outgoing.voice.by.destination*(offers.segment.all=$C377)*(TRANSPOSE(voice.destination.domestic)=L$357))</f>
        <v>0</v>
      </c>
      <c r="O377" s="169">
        <f t="shared" si="66"/>
        <v>0</v>
      </c>
      <c r="P377" s="103">
        <v>0</v>
      </c>
      <c r="Q377" s="169">
        <f t="shared" si="67"/>
        <v>0</v>
      </c>
      <c r="R377" s="143"/>
      <c r="S377" s="143"/>
      <c r="T377" s="143"/>
    </row>
    <row r="378" spans="3:20" ht="12" hidden="1" customHeight="1" outlineLevel="2">
      <c r="C378" s="73" t="str">
        <v>SpareOfferD21</v>
      </c>
      <c r="E378" t="s">
        <v>163</v>
      </c>
      <c r="G378" s="81">
        <f t="array" ref="G378">SUM(distribution.outgoing.voice.by.destination*(offers.segment.all=$C378)*(TRANSPOSE(voice.destination.domestic)=G$357))</f>
        <v>0</v>
      </c>
      <c r="H378" s="81">
        <f t="array" ref="H378">SUM(distribution.outgoing.voice.by.destination*(offers.segment.all=$C378)*(TRANSPOSE(voice.destination.domestic)=H$357))</f>
        <v>0</v>
      </c>
      <c r="I378" s="81">
        <f t="array" ref="I378">SUM(distribution.outgoing.voice.by.destination*(offers.segment.all=$C378)*(TRANSPOSE(voice.destination.domestic)=I$357))</f>
        <v>0</v>
      </c>
      <c r="J378" s="81">
        <f t="array" ref="J378">SUM(distribution.outgoing.voice.by.destination*(offers.segment.all=$C378)*(TRANSPOSE(voice.destination.domestic)=J$357))</f>
        <v>0</v>
      </c>
      <c r="K378" s="81">
        <f t="array" ref="K378">SUM(distribution.outgoing.voice.by.destination*(offers.segment.all=$C378)*(TRANSPOSE(voice.destination.domestic)=K$357))</f>
        <v>0</v>
      </c>
      <c r="L378" s="81">
        <f t="array" ref="L378">SUM(distribution.outgoing.voice.by.destination*(offers.segment.all=$C378)*(TRANSPOSE(voice.destination.domestic)=L$357))</f>
        <v>0</v>
      </c>
      <c r="O378" s="169">
        <f t="shared" si="66"/>
        <v>0</v>
      </c>
      <c r="P378" s="103">
        <v>0</v>
      </c>
      <c r="Q378" s="169">
        <f t="shared" si="67"/>
        <v>0</v>
      </c>
      <c r="R378" s="143"/>
      <c r="S378" s="143"/>
      <c r="T378" s="143"/>
    </row>
    <row r="379" spans="3:20" ht="12" hidden="1" customHeight="1" outlineLevel="2">
      <c r="C379" s="73" t="str">
        <v>SpareOfferD22</v>
      </c>
      <c r="E379" t="s">
        <v>163</v>
      </c>
      <c r="G379" s="81">
        <f t="array" ref="G379">SUM(distribution.outgoing.voice.by.destination*(offers.segment.all=$C379)*(TRANSPOSE(voice.destination.domestic)=G$357))</f>
        <v>0</v>
      </c>
      <c r="H379" s="81">
        <f t="array" ref="H379">SUM(distribution.outgoing.voice.by.destination*(offers.segment.all=$C379)*(TRANSPOSE(voice.destination.domestic)=H$357))</f>
        <v>0</v>
      </c>
      <c r="I379" s="81">
        <f t="array" ref="I379">SUM(distribution.outgoing.voice.by.destination*(offers.segment.all=$C379)*(TRANSPOSE(voice.destination.domestic)=I$357))</f>
        <v>0</v>
      </c>
      <c r="J379" s="81">
        <f t="array" ref="J379">SUM(distribution.outgoing.voice.by.destination*(offers.segment.all=$C379)*(TRANSPOSE(voice.destination.domestic)=J$357))</f>
        <v>0</v>
      </c>
      <c r="K379" s="81">
        <f t="array" ref="K379">SUM(distribution.outgoing.voice.by.destination*(offers.segment.all=$C379)*(TRANSPOSE(voice.destination.domestic)=K$357))</f>
        <v>0</v>
      </c>
      <c r="L379" s="81">
        <f t="array" ref="L379">SUM(distribution.outgoing.voice.by.destination*(offers.segment.all=$C379)*(TRANSPOSE(voice.destination.domestic)=L$357))</f>
        <v>0</v>
      </c>
      <c r="O379" s="169">
        <f t="shared" si="66"/>
        <v>0</v>
      </c>
      <c r="P379" s="103">
        <v>0</v>
      </c>
      <c r="Q379" s="169">
        <f t="shared" si="67"/>
        <v>0</v>
      </c>
      <c r="R379" s="143"/>
      <c r="S379" s="143"/>
      <c r="T379" s="143"/>
    </row>
    <row r="380" spans="3:20" ht="12" hidden="1" customHeight="1" outlineLevel="2">
      <c r="C380" s="73" t="str">
        <v>SpareOfferD23</v>
      </c>
      <c r="E380" t="s">
        <v>163</v>
      </c>
      <c r="G380" s="81">
        <f t="array" ref="G380">SUM(distribution.outgoing.voice.by.destination*(offers.segment.all=$C380)*(TRANSPOSE(voice.destination.domestic)=G$357))</f>
        <v>0</v>
      </c>
      <c r="H380" s="81">
        <f t="array" ref="H380">SUM(distribution.outgoing.voice.by.destination*(offers.segment.all=$C380)*(TRANSPOSE(voice.destination.domestic)=H$357))</f>
        <v>0</v>
      </c>
      <c r="I380" s="81">
        <f t="array" ref="I380">SUM(distribution.outgoing.voice.by.destination*(offers.segment.all=$C380)*(TRANSPOSE(voice.destination.domestic)=I$357))</f>
        <v>0</v>
      </c>
      <c r="J380" s="81">
        <f t="array" ref="J380">SUM(distribution.outgoing.voice.by.destination*(offers.segment.all=$C380)*(TRANSPOSE(voice.destination.domestic)=J$357))</f>
        <v>0</v>
      </c>
      <c r="K380" s="81">
        <f t="array" ref="K380">SUM(distribution.outgoing.voice.by.destination*(offers.segment.all=$C380)*(TRANSPOSE(voice.destination.domestic)=K$357))</f>
        <v>0</v>
      </c>
      <c r="L380" s="81">
        <f t="array" ref="L380">SUM(distribution.outgoing.voice.by.destination*(offers.segment.all=$C380)*(TRANSPOSE(voice.destination.domestic)=L$357))</f>
        <v>0</v>
      </c>
      <c r="O380" s="169">
        <f t="shared" si="66"/>
        <v>0</v>
      </c>
      <c r="P380" s="103">
        <v>0</v>
      </c>
      <c r="Q380" s="169">
        <f t="shared" si="67"/>
        <v>0</v>
      </c>
      <c r="R380" s="143"/>
      <c r="S380" s="143"/>
      <c r="T380" s="143"/>
    </row>
    <row r="381" spans="3:20" ht="12" hidden="1" customHeight="1" outlineLevel="2">
      <c r="C381" s="73" t="str">
        <v>SpareOfferD24</v>
      </c>
      <c r="E381" t="s">
        <v>163</v>
      </c>
      <c r="G381" s="81">
        <f t="array" ref="G381">SUM(distribution.outgoing.voice.by.destination*(offers.segment.all=$C381)*(TRANSPOSE(voice.destination.domestic)=G$357))</f>
        <v>0</v>
      </c>
      <c r="H381" s="81">
        <f t="array" ref="H381">SUM(distribution.outgoing.voice.by.destination*(offers.segment.all=$C381)*(TRANSPOSE(voice.destination.domestic)=H$357))</f>
        <v>0</v>
      </c>
      <c r="I381" s="81">
        <f t="array" ref="I381">SUM(distribution.outgoing.voice.by.destination*(offers.segment.all=$C381)*(TRANSPOSE(voice.destination.domestic)=I$357))</f>
        <v>0</v>
      </c>
      <c r="J381" s="81">
        <f t="array" ref="J381">SUM(distribution.outgoing.voice.by.destination*(offers.segment.all=$C381)*(TRANSPOSE(voice.destination.domestic)=J$357))</f>
        <v>0</v>
      </c>
      <c r="K381" s="81">
        <f t="array" ref="K381">SUM(distribution.outgoing.voice.by.destination*(offers.segment.all=$C381)*(TRANSPOSE(voice.destination.domestic)=K$357))</f>
        <v>0</v>
      </c>
      <c r="L381" s="81">
        <f t="array" ref="L381">SUM(distribution.outgoing.voice.by.destination*(offers.segment.all=$C381)*(TRANSPOSE(voice.destination.domestic)=L$357))</f>
        <v>0</v>
      </c>
      <c r="O381" s="169">
        <f t="shared" si="66"/>
        <v>0</v>
      </c>
      <c r="P381" s="103">
        <v>0</v>
      </c>
      <c r="Q381" s="169">
        <f t="shared" si="67"/>
        <v>0</v>
      </c>
      <c r="R381" s="143"/>
      <c r="S381" s="143"/>
      <c r="T381" s="143"/>
    </row>
    <row r="382" spans="3:20" ht="12" hidden="1" customHeight="1" outlineLevel="2">
      <c r="C382" s="73" t="str">
        <v>SpareOfferD25</v>
      </c>
      <c r="E382" t="s">
        <v>163</v>
      </c>
      <c r="G382" s="81">
        <f t="array" ref="G382">SUM(distribution.outgoing.voice.by.destination*(offers.segment.all=$C382)*(TRANSPOSE(voice.destination.domestic)=G$357))</f>
        <v>0</v>
      </c>
      <c r="H382" s="81">
        <f t="array" ref="H382">SUM(distribution.outgoing.voice.by.destination*(offers.segment.all=$C382)*(TRANSPOSE(voice.destination.domestic)=H$357))</f>
        <v>0</v>
      </c>
      <c r="I382" s="81">
        <f t="array" ref="I382">SUM(distribution.outgoing.voice.by.destination*(offers.segment.all=$C382)*(TRANSPOSE(voice.destination.domestic)=I$357))</f>
        <v>0</v>
      </c>
      <c r="J382" s="81">
        <f t="array" ref="J382">SUM(distribution.outgoing.voice.by.destination*(offers.segment.all=$C382)*(TRANSPOSE(voice.destination.domestic)=J$357))</f>
        <v>0</v>
      </c>
      <c r="K382" s="81">
        <f t="array" ref="K382">SUM(distribution.outgoing.voice.by.destination*(offers.segment.all=$C382)*(TRANSPOSE(voice.destination.domestic)=K$357))</f>
        <v>0</v>
      </c>
      <c r="L382" s="81">
        <f t="array" ref="L382">SUM(distribution.outgoing.voice.by.destination*(offers.segment.all=$C382)*(TRANSPOSE(voice.destination.domestic)=L$357))</f>
        <v>0</v>
      </c>
      <c r="O382" s="169">
        <f t="shared" si="66"/>
        <v>0</v>
      </c>
      <c r="P382" s="103">
        <v>0</v>
      </c>
      <c r="Q382" s="169">
        <f t="shared" si="67"/>
        <v>0</v>
      </c>
      <c r="R382" s="143"/>
      <c r="S382" s="143"/>
      <c r="T382" s="143"/>
    </row>
    <row r="383" spans="3:20" ht="12" hidden="1" customHeight="1" outlineLevel="2">
      <c r="C383" s="73" t="str">
        <v>SpareOfferD26</v>
      </c>
      <c r="E383" t="s">
        <v>163</v>
      </c>
      <c r="G383" s="81">
        <f t="array" ref="G383">SUM(distribution.outgoing.voice.by.destination*(offers.segment.all=$C383)*(TRANSPOSE(voice.destination.domestic)=G$357))</f>
        <v>0</v>
      </c>
      <c r="H383" s="81">
        <f t="array" ref="H383">SUM(distribution.outgoing.voice.by.destination*(offers.segment.all=$C383)*(TRANSPOSE(voice.destination.domestic)=H$357))</f>
        <v>0</v>
      </c>
      <c r="I383" s="81">
        <f t="array" ref="I383">SUM(distribution.outgoing.voice.by.destination*(offers.segment.all=$C383)*(TRANSPOSE(voice.destination.domestic)=I$357))</f>
        <v>0</v>
      </c>
      <c r="J383" s="81">
        <f t="array" ref="J383">SUM(distribution.outgoing.voice.by.destination*(offers.segment.all=$C383)*(TRANSPOSE(voice.destination.domestic)=J$357))</f>
        <v>0</v>
      </c>
      <c r="K383" s="81">
        <f t="array" ref="K383">SUM(distribution.outgoing.voice.by.destination*(offers.segment.all=$C383)*(TRANSPOSE(voice.destination.domestic)=K$357))</f>
        <v>0</v>
      </c>
      <c r="L383" s="81">
        <f t="array" ref="L383">SUM(distribution.outgoing.voice.by.destination*(offers.segment.all=$C383)*(TRANSPOSE(voice.destination.domestic)=L$357))</f>
        <v>0</v>
      </c>
      <c r="O383" s="169">
        <f t="shared" si="66"/>
        <v>0</v>
      </c>
      <c r="P383" s="103">
        <v>0</v>
      </c>
      <c r="Q383" s="169">
        <f t="shared" si="67"/>
        <v>0</v>
      </c>
      <c r="R383" s="143"/>
      <c r="S383" s="143"/>
      <c r="T383" s="143"/>
    </row>
    <row r="384" spans="3:20" ht="12" hidden="1" customHeight="1" outlineLevel="2">
      <c r="C384" s="73" t="str">
        <v>SpareOfferD27</v>
      </c>
      <c r="E384" t="s">
        <v>163</v>
      </c>
      <c r="G384" s="81">
        <f t="array" ref="G384">SUM(distribution.outgoing.voice.by.destination*(offers.segment.all=$C384)*(TRANSPOSE(voice.destination.domestic)=G$357))</f>
        <v>0</v>
      </c>
      <c r="H384" s="81">
        <f t="array" ref="H384">SUM(distribution.outgoing.voice.by.destination*(offers.segment.all=$C384)*(TRANSPOSE(voice.destination.domestic)=H$357))</f>
        <v>0</v>
      </c>
      <c r="I384" s="81">
        <f t="array" ref="I384">SUM(distribution.outgoing.voice.by.destination*(offers.segment.all=$C384)*(TRANSPOSE(voice.destination.domestic)=I$357))</f>
        <v>0</v>
      </c>
      <c r="J384" s="81">
        <f t="array" ref="J384">SUM(distribution.outgoing.voice.by.destination*(offers.segment.all=$C384)*(TRANSPOSE(voice.destination.domestic)=J$357))</f>
        <v>0</v>
      </c>
      <c r="K384" s="81">
        <f t="array" ref="K384">SUM(distribution.outgoing.voice.by.destination*(offers.segment.all=$C384)*(TRANSPOSE(voice.destination.domestic)=K$357))</f>
        <v>0</v>
      </c>
      <c r="L384" s="81">
        <f t="array" ref="L384">SUM(distribution.outgoing.voice.by.destination*(offers.segment.all=$C384)*(TRANSPOSE(voice.destination.domestic)=L$357))</f>
        <v>0</v>
      </c>
      <c r="O384" s="169">
        <f t="shared" si="66"/>
        <v>0</v>
      </c>
      <c r="P384" s="103">
        <v>0</v>
      </c>
      <c r="Q384" s="169">
        <f t="shared" si="67"/>
        <v>0</v>
      </c>
      <c r="R384" s="143"/>
      <c r="S384" s="143"/>
      <c r="T384" s="143"/>
    </row>
    <row r="385" spans="2:20" ht="12" hidden="1" customHeight="1" outlineLevel="2">
      <c r="C385" s="73" t="str">
        <v>SpareOfferD28</v>
      </c>
      <c r="E385" t="s">
        <v>163</v>
      </c>
      <c r="G385" s="81">
        <f t="array" ref="G385">SUM(distribution.outgoing.voice.by.destination*(offers.segment.all=$C385)*(TRANSPOSE(voice.destination.domestic)=G$357))</f>
        <v>0</v>
      </c>
      <c r="H385" s="81">
        <f t="array" ref="H385">SUM(distribution.outgoing.voice.by.destination*(offers.segment.all=$C385)*(TRANSPOSE(voice.destination.domestic)=H$357))</f>
        <v>0</v>
      </c>
      <c r="I385" s="81">
        <f t="array" ref="I385">SUM(distribution.outgoing.voice.by.destination*(offers.segment.all=$C385)*(TRANSPOSE(voice.destination.domestic)=I$357))</f>
        <v>0</v>
      </c>
      <c r="J385" s="81">
        <f t="array" ref="J385">SUM(distribution.outgoing.voice.by.destination*(offers.segment.all=$C385)*(TRANSPOSE(voice.destination.domestic)=J$357))</f>
        <v>0</v>
      </c>
      <c r="K385" s="81">
        <f t="array" ref="K385">SUM(distribution.outgoing.voice.by.destination*(offers.segment.all=$C385)*(TRANSPOSE(voice.destination.domestic)=K$357))</f>
        <v>0</v>
      </c>
      <c r="L385" s="81">
        <f t="array" ref="L385">SUM(distribution.outgoing.voice.by.destination*(offers.segment.all=$C385)*(TRANSPOSE(voice.destination.domestic)=L$357))</f>
        <v>0</v>
      </c>
      <c r="O385" s="169">
        <f t="shared" si="66"/>
        <v>0</v>
      </c>
      <c r="P385" s="103">
        <v>0</v>
      </c>
      <c r="Q385" s="169">
        <f t="shared" si="67"/>
        <v>0</v>
      </c>
      <c r="R385" s="143"/>
      <c r="S385" s="143"/>
      <c r="T385" s="143"/>
    </row>
    <row r="386" spans="2:20" ht="12" hidden="1" customHeight="1" outlineLevel="2">
      <c r="C386" s="73" t="str">
        <v>SpareOfferD29</v>
      </c>
      <c r="E386" t="s">
        <v>163</v>
      </c>
      <c r="G386" s="81">
        <f t="array" ref="G386">SUM(distribution.outgoing.voice.by.destination*(offers.segment.all=$C386)*(TRANSPOSE(voice.destination.domestic)=G$357))</f>
        <v>0</v>
      </c>
      <c r="H386" s="81">
        <f t="array" ref="H386">SUM(distribution.outgoing.voice.by.destination*(offers.segment.all=$C386)*(TRANSPOSE(voice.destination.domestic)=H$357))</f>
        <v>0</v>
      </c>
      <c r="I386" s="81">
        <f t="array" ref="I386">SUM(distribution.outgoing.voice.by.destination*(offers.segment.all=$C386)*(TRANSPOSE(voice.destination.domestic)=I$357))</f>
        <v>0</v>
      </c>
      <c r="J386" s="81">
        <f t="array" ref="J386">SUM(distribution.outgoing.voice.by.destination*(offers.segment.all=$C386)*(TRANSPOSE(voice.destination.domestic)=J$357))</f>
        <v>0</v>
      </c>
      <c r="K386" s="81">
        <f t="array" ref="K386">SUM(distribution.outgoing.voice.by.destination*(offers.segment.all=$C386)*(TRANSPOSE(voice.destination.domestic)=K$357))</f>
        <v>0</v>
      </c>
      <c r="L386" s="81">
        <f t="array" ref="L386">SUM(distribution.outgoing.voice.by.destination*(offers.segment.all=$C386)*(TRANSPOSE(voice.destination.domestic)=L$357))</f>
        <v>0</v>
      </c>
      <c r="O386" s="169">
        <f t="shared" si="66"/>
        <v>0</v>
      </c>
      <c r="P386" s="103">
        <v>0</v>
      </c>
      <c r="Q386" s="169">
        <f t="shared" si="67"/>
        <v>0</v>
      </c>
      <c r="R386" s="143"/>
      <c r="S386" s="143"/>
      <c r="T386" s="143"/>
    </row>
    <row r="387" spans="2:20" ht="12" hidden="1" customHeight="1" outlineLevel="2">
      <c r="C387" s="73" t="str">
        <v>SpareOfferD30</v>
      </c>
      <c r="E387" t="s">
        <v>163</v>
      </c>
      <c r="G387" s="81">
        <f t="array" ref="G387">SUM(distribution.outgoing.voice.by.destination*(offers.segment.all=$C387)*(TRANSPOSE(voice.destination.domestic)=G$357))</f>
        <v>0</v>
      </c>
      <c r="H387" s="81">
        <f t="array" ref="H387">SUM(distribution.outgoing.voice.by.destination*(offers.segment.all=$C387)*(TRANSPOSE(voice.destination.domestic)=H$357))</f>
        <v>0</v>
      </c>
      <c r="I387" s="81">
        <f t="array" ref="I387">SUM(distribution.outgoing.voice.by.destination*(offers.segment.all=$C387)*(TRANSPOSE(voice.destination.domestic)=I$357))</f>
        <v>0</v>
      </c>
      <c r="J387" s="81">
        <f t="array" ref="J387">SUM(distribution.outgoing.voice.by.destination*(offers.segment.all=$C387)*(TRANSPOSE(voice.destination.domestic)=J$357))</f>
        <v>0</v>
      </c>
      <c r="K387" s="81">
        <f t="array" ref="K387">SUM(distribution.outgoing.voice.by.destination*(offers.segment.all=$C387)*(TRANSPOSE(voice.destination.domestic)=K$357))</f>
        <v>0</v>
      </c>
      <c r="L387" s="81">
        <f t="array" ref="L387">SUM(distribution.outgoing.voice.by.destination*(offers.segment.all=$C387)*(TRANSPOSE(voice.destination.domestic)=L$357))</f>
        <v>0</v>
      </c>
      <c r="O387" s="169">
        <f t="shared" si="66"/>
        <v>0</v>
      </c>
      <c r="P387" s="103">
        <v>0</v>
      </c>
      <c r="Q387" s="169">
        <f t="shared" si="67"/>
        <v>0</v>
      </c>
      <c r="R387" s="143"/>
      <c r="S387" s="143"/>
      <c r="T387" s="143"/>
    </row>
    <row r="388" spans="2:20" ht="12" hidden="1" customHeight="1" outlineLevel="2">
      <c r="C388" s="73" t="str">
        <v>SpareOfferD31</v>
      </c>
      <c r="E388" t="s">
        <v>163</v>
      </c>
      <c r="G388" s="81">
        <f t="array" ref="G388">SUM(distribution.outgoing.voice.by.destination*(offers.segment.all=$C388)*(TRANSPOSE(voice.destination.domestic)=G$357))</f>
        <v>0</v>
      </c>
      <c r="H388" s="81">
        <f t="array" ref="H388">SUM(distribution.outgoing.voice.by.destination*(offers.segment.all=$C388)*(TRANSPOSE(voice.destination.domestic)=H$357))</f>
        <v>0</v>
      </c>
      <c r="I388" s="81">
        <f t="array" ref="I388">SUM(distribution.outgoing.voice.by.destination*(offers.segment.all=$C388)*(TRANSPOSE(voice.destination.domestic)=I$357))</f>
        <v>0</v>
      </c>
      <c r="J388" s="81">
        <f t="array" ref="J388">SUM(distribution.outgoing.voice.by.destination*(offers.segment.all=$C388)*(TRANSPOSE(voice.destination.domestic)=J$357))</f>
        <v>0</v>
      </c>
      <c r="K388" s="81">
        <f t="array" ref="K388">SUM(distribution.outgoing.voice.by.destination*(offers.segment.all=$C388)*(TRANSPOSE(voice.destination.domestic)=K$357))</f>
        <v>0</v>
      </c>
      <c r="L388" s="81">
        <f t="array" ref="L388">SUM(distribution.outgoing.voice.by.destination*(offers.segment.all=$C388)*(TRANSPOSE(voice.destination.domestic)=L$357))</f>
        <v>0</v>
      </c>
      <c r="O388" s="169">
        <f t="shared" si="66"/>
        <v>0</v>
      </c>
      <c r="P388" s="103">
        <v>0</v>
      </c>
      <c r="Q388" s="169">
        <f t="shared" si="67"/>
        <v>0</v>
      </c>
      <c r="R388" s="143"/>
      <c r="S388" s="143"/>
      <c r="T388" s="143"/>
    </row>
    <row r="389" spans="2:20" ht="12" hidden="1" customHeight="1" outlineLevel="2">
      <c r="C389" s="73" t="str">
        <v>SpareOfferD32</v>
      </c>
      <c r="E389" t="s">
        <v>163</v>
      </c>
      <c r="G389" s="81">
        <f t="array" ref="G389">SUM(distribution.outgoing.voice.by.destination*(offers.segment.all=$C389)*(TRANSPOSE(voice.destination.domestic)=G$357))</f>
        <v>0</v>
      </c>
      <c r="H389" s="81">
        <f t="array" ref="H389">SUM(distribution.outgoing.voice.by.destination*(offers.segment.all=$C389)*(TRANSPOSE(voice.destination.domestic)=H$357))</f>
        <v>0</v>
      </c>
      <c r="I389" s="81">
        <f t="array" ref="I389">SUM(distribution.outgoing.voice.by.destination*(offers.segment.all=$C389)*(TRANSPOSE(voice.destination.domestic)=I$357))</f>
        <v>0</v>
      </c>
      <c r="J389" s="81">
        <f t="array" ref="J389">SUM(distribution.outgoing.voice.by.destination*(offers.segment.all=$C389)*(TRANSPOSE(voice.destination.domestic)=J$357))</f>
        <v>0</v>
      </c>
      <c r="K389" s="81">
        <f t="array" ref="K389">SUM(distribution.outgoing.voice.by.destination*(offers.segment.all=$C389)*(TRANSPOSE(voice.destination.domestic)=K$357))</f>
        <v>0</v>
      </c>
      <c r="L389" s="81">
        <f t="array" ref="L389">SUM(distribution.outgoing.voice.by.destination*(offers.segment.all=$C389)*(TRANSPOSE(voice.destination.domestic)=L$357))</f>
        <v>0</v>
      </c>
      <c r="O389" s="169">
        <f t="shared" si="66"/>
        <v>0</v>
      </c>
      <c r="P389" s="103">
        <v>0</v>
      </c>
      <c r="Q389" s="169">
        <f t="shared" si="67"/>
        <v>0</v>
      </c>
      <c r="R389" s="143"/>
      <c r="S389" s="143"/>
      <c r="T389" s="143"/>
    </row>
    <row r="390" spans="2:20" ht="12" hidden="1" customHeight="1" outlineLevel="2">
      <c r="C390" s="73" t="str">
        <v>SpareOfferD33</v>
      </c>
      <c r="E390" t="s">
        <v>163</v>
      </c>
      <c r="G390" s="81">
        <f t="array" ref="G390">SUM(distribution.outgoing.voice.by.destination*(offers.segment.all=$C390)*(TRANSPOSE(voice.destination.domestic)=G$357))</f>
        <v>0</v>
      </c>
      <c r="H390" s="81">
        <f t="array" ref="H390">SUM(distribution.outgoing.voice.by.destination*(offers.segment.all=$C390)*(TRANSPOSE(voice.destination.domestic)=H$357))</f>
        <v>0</v>
      </c>
      <c r="I390" s="81">
        <f t="array" ref="I390">SUM(distribution.outgoing.voice.by.destination*(offers.segment.all=$C390)*(TRANSPOSE(voice.destination.domestic)=I$357))</f>
        <v>0</v>
      </c>
      <c r="J390" s="81">
        <f t="array" ref="J390">SUM(distribution.outgoing.voice.by.destination*(offers.segment.all=$C390)*(TRANSPOSE(voice.destination.domestic)=J$357))</f>
        <v>0</v>
      </c>
      <c r="K390" s="81">
        <f t="array" ref="K390">SUM(distribution.outgoing.voice.by.destination*(offers.segment.all=$C390)*(TRANSPOSE(voice.destination.domestic)=K$357))</f>
        <v>0</v>
      </c>
      <c r="L390" s="81">
        <f t="array" ref="L390">SUM(distribution.outgoing.voice.by.destination*(offers.segment.all=$C390)*(TRANSPOSE(voice.destination.domestic)=L$357))</f>
        <v>0</v>
      </c>
      <c r="O390" s="169">
        <f t="shared" si="66"/>
        <v>0</v>
      </c>
      <c r="P390" s="103">
        <v>0</v>
      </c>
      <c r="Q390" s="169">
        <f t="shared" si="67"/>
        <v>0</v>
      </c>
      <c r="R390" s="143"/>
      <c r="S390" s="143"/>
      <c r="T390" s="143"/>
    </row>
    <row r="391" spans="2:20" ht="12" hidden="1" customHeight="1" outlineLevel="2">
      <c r="C391" s="73" t="str">
        <v>SpareOfferD34</v>
      </c>
      <c r="E391" t="s">
        <v>163</v>
      </c>
      <c r="G391" s="81">
        <f t="array" ref="G391">SUM(distribution.outgoing.voice.by.destination*(offers.segment.all=$C391)*(TRANSPOSE(voice.destination.domestic)=G$357))</f>
        <v>0</v>
      </c>
      <c r="H391" s="81">
        <f t="array" ref="H391">SUM(distribution.outgoing.voice.by.destination*(offers.segment.all=$C391)*(TRANSPOSE(voice.destination.domestic)=H$357))</f>
        <v>0</v>
      </c>
      <c r="I391" s="81">
        <f t="array" ref="I391">SUM(distribution.outgoing.voice.by.destination*(offers.segment.all=$C391)*(TRANSPOSE(voice.destination.domestic)=I$357))</f>
        <v>0</v>
      </c>
      <c r="J391" s="81">
        <f t="array" ref="J391">SUM(distribution.outgoing.voice.by.destination*(offers.segment.all=$C391)*(TRANSPOSE(voice.destination.domestic)=J$357))</f>
        <v>0</v>
      </c>
      <c r="K391" s="81">
        <f t="array" ref="K391">SUM(distribution.outgoing.voice.by.destination*(offers.segment.all=$C391)*(TRANSPOSE(voice.destination.domestic)=K$357))</f>
        <v>0</v>
      </c>
      <c r="L391" s="81">
        <f t="array" ref="L391">SUM(distribution.outgoing.voice.by.destination*(offers.segment.all=$C391)*(TRANSPOSE(voice.destination.domestic)=L$357))</f>
        <v>0</v>
      </c>
      <c r="O391" s="169">
        <f t="shared" si="66"/>
        <v>0</v>
      </c>
      <c r="P391" s="103">
        <v>0</v>
      </c>
      <c r="Q391" s="169">
        <f t="shared" si="67"/>
        <v>0</v>
      </c>
      <c r="R391" s="143"/>
      <c r="S391" s="143"/>
      <c r="T391" s="143"/>
    </row>
    <row r="392" spans="2:20" outlineLevel="1" collapsed="1">
      <c r="C392" s="73" t="str">
        <v>-</v>
      </c>
      <c r="E392" t="s">
        <v>163</v>
      </c>
      <c r="G392" s="81">
        <f t="array" ref="G392">SUM(distribution.outgoing.voice.by.destination*(offers.segment.all=$C392)*(TRANSPOSE(voice.destination.domestic)=G$357))</f>
        <v>0</v>
      </c>
      <c r="H392" s="81">
        <f t="array" ref="H392">SUM(distribution.outgoing.voice.by.destination*(offers.segment.all=$C392)*(TRANSPOSE(voice.destination.domestic)=H$357))</f>
        <v>0</v>
      </c>
      <c r="I392" s="81">
        <f t="array" ref="I392">SUM(distribution.outgoing.voice.by.destination*(offers.segment.all=$C392)*(TRANSPOSE(voice.destination.domestic)=I$357))</f>
        <v>0</v>
      </c>
      <c r="J392" s="81">
        <f t="array" ref="J392">SUM(distribution.outgoing.voice.by.destination*(offers.segment.all=$C392)*(TRANSPOSE(voice.destination.domestic)=J$357))</f>
        <v>0</v>
      </c>
      <c r="K392" s="81">
        <f t="array" ref="K392">SUM(distribution.outgoing.voice.by.destination*(offers.segment.all=$C392)*(TRANSPOSE(voice.destination.domestic)=K$357))</f>
        <v>0</v>
      </c>
      <c r="L392" s="81">
        <f t="array" ref="L392">SUM(distribution.outgoing.voice.by.destination*(offers.segment.all=$C392)*(TRANSPOSE(voice.destination.domestic)=L$357))</f>
        <v>0</v>
      </c>
      <c r="O392" s="169">
        <f t="shared" si="66"/>
        <v>0</v>
      </c>
      <c r="P392" s="103">
        <v>0</v>
      </c>
      <c r="Q392" s="169">
        <f t="shared" si="67"/>
        <v>0</v>
      </c>
      <c r="R392" s="143"/>
      <c r="S392" s="143"/>
      <c r="T392" s="143"/>
    </row>
    <row r="393" spans="2:20" outlineLevel="1"/>
    <row r="394" spans="2:20" ht="12" customHeight="1" outlineLevel="1">
      <c r="C394" s="91" t="s">
        <v>485</v>
      </c>
      <c r="G394" s="66" t="s">
        <v>308</v>
      </c>
      <c r="H394" s="66"/>
      <c r="I394" s="66"/>
      <c r="J394" s="66"/>
      <c r="K394" s="66"/>
      <c r="L394" s="66"/>
      <c r="O394" s="66" t="s">
        <v>161</v>
      </c>
      <c r="P394" s="66"/>
      <c r="Q394" s="66"/>
      <c r="S394" s="66" t="s">
        <v>177</v>
      </c>
      <c r="T394" s="66"/>
    </row>
    <row r="395" spans="2:20" ht="23" outlineLevel="1">
      <c r="C395" s="1" t="s">
        <v>309</v>
      </c>
      <c r="G395" s="95" t="str">
        <f t="array" ref="G395:L395">options.selected.basic</f>
        <v>National voice</v>
      </c>
      <c r="H395" s="95" t="str">
        <v>International voice</v>
      </c>
      <c r="I395" s="95" t="str">
        <v>National SMS</v>
      </c>
      <c r="J395" s="95" t="str">
        <v>International SMS</v>
      </c>
      <c r="K395" s="95" t="str">
        <v>National data</v>
      </c>
      <c r="L395" s="95" t="str">
        <v>Spare 1</v>
      </c>
      <c r="O395" s="95" t="str">
        <f t="array" ref="O395:Q395">options.selected.VAS</f>
        <v>VAS minutes</v>
      </c>
      <c r="P395" s="95" t="str">
        <v>VAS BankID</v>
      </c>
      <c r="Q395" s="95" t="str">
        <v>Other VAS messages</v>
      </c>
      <c r="S395" s="95" t="str">
        <f t="array" ref="S395:T395">options.selected.termination</f>
        <v>Voice termination</v>
      </c>
      <c r="T395" s="95" t="str">
        <v>Message termination</v>
      </c>
    </row>
    <row r="396" spans="2:20" outlineLevel="1">
      <c r="B396">
        <f t="shared" ref="B396:B430" si="68">MATCH(C396,offers.segment.all,0)</f>
        <v>106</v>
      </c>
      <c r="C396" s="73" t="str">
        <f t="array" ref="C396:C430">offers.segment.4</f>
        <v>SpareOfferD1</v>
      </c>
      <c r="G396" s="101">
        <f t="shared" ref="G396:L405" si="69">INDEX(per.sub.volumes.by.demand.descriptions,$B396,MATCH(G$395,demand.descriptions.short,0))</f>
        <v>0</v>
      </c>
      <c r="H396" s="101">
        <f t="shared" si="69"/>
        <v>0</v>
      </c>
      <c r="I396" s="101">
        <f t="shared" si="69"/>
        <v>0</v>
      </c>
      <c r="J396" s="101">
        <f t="shared" si="69"/>
        <v>0</v>
      </c>
      <c r="K396" s="101">
        <f t="shared" si="69"/>
        <v>0</v>
      </c>
      <c r="L396" s="101">
        <f t="shared" si="69"/>
        <v>0</v>
      </c>
      <c r="O396" s="101">
        <f t="shared" ref="O396:Q415" si="70">INDEX(per.sub.volumes.by.demand.descriptions,$B396,MATCH(O$395,demand.descriptions.short,0))</f>
        <v>0</v>
      </c>
      <c r="P396" s="101">
        <f t="shared" si="70"/>
        <v>0</v>
      </c>
      <c r="Q396" s="101">
        <f t="shared" si="70"/>
        <v>0</v>
      </c>
      <c r="S396" s="101">
        <f t="shared" ref="S396:T415" si="71">INDEX(per.sub.volumes.by.demand.descriptions,$B396,MATCH(S$395,demand.descriptions.short,0))</f>
        <v>0</v>
      </c>
      <c r="T396" s="101">
        <f t="shared" si="71"/>
        <v>0</v>
      </c>
    </row>
    <row r="397" spans="2:20" hidden="1" outlineLevel="2">
      <c r="B397">
        <f t="shared" si="68"/>
        <v>107</v>
      </c>
      <c r="C397" s="73" t="str">
        <v>SpareOfferD2</v>
      </c>
      <c r="G397" s="101">
        <f t="shared" si="69"/>
        <v>0</v>
      </c>
      <c r="H397" s="101">
        <f t="shared" si="69"/>
        <v>0</v>
      </c>
      <c r="I397" s="101">
        <f t="shared" si="69"/>
        <v>0</v>
      </c>
      <c r="J397" s="101">
        <f t="shared" si="69"/>
        <v>0</v>
      </c>
      <c r="K397" s="101">
        <f t="shared" si="69"/>
        <v>0</v>
      </c>
      <c r="L397" s="101">
        <f t="shared" si="69"/>
        <v>0</v>
      </c>
      <c r="O397" s="101">
        <f t="shared" si="70"/>
        <v>0</v>
      </c>
      <c r="P397" s="101">
        <f t="shared" si="70"/>
        <v>0</v>
      </c>
      <c r="Q397" s="101">
        <f t="shared" si="70"/>
        <v>0</v>
      </c>
      <c r="S397" s="101">
        <f t="shared" si="71"/>
        <v>0</v>
      </c>
      <c r="T397" s="101">
        <f t="shared" si="71"/>
        <v>0</v>
      </c>
    </row>
    <row r="398" spans="2:20" hidden="1" outlineLevel="2">
      <c r="B398">
        <f t="shared" si="68"/>
        <v>108</v>
      </c>
      <c r="C398" s="73" t="str">
        <v>SpareOfferD3</v>
      </c>
      <c r="G398" s="101">
        <f t="shared" si="69"/>
        <v>0</v>
      </c>
      <c r="H398" s="101">
        <f t="shared" si="69"/>
        <v>0</v>
      </c>
      <c r="I398" s="101">
        <f t="shared" si="69"/>
        <v>0</v>
      </c>
      <c r="J398" s="101">
        <f t="shared" si="69"/>
        <v>0</v>
      </c>
      <c r="K398" s="101">
        <f t="shared" si="69"/>
        <v>0</v>
      </c>
      <c r="L398" s="101">
        <f t="shared" si="69"/>
        <v>0</v>
      </c>
      <c r="O398" s="101">
        <f t="shared" si="70"/>
        <v>0</v>
      </c>
      <c r="P398" s="101">
        <f t="shared" si="70"/>
        <v>0</v>
      </c>
      <c r="Q398" s="101">
        <f t="shared" si="70"/>
        <v>0</v>
      </c>
      <c r="S398" s="101">
        <f t="shared" si="71"/>
        <v>0</v>
      </c>
      <c r="T398" s="101">
        <f t="shared" si="71"/>
        <v>0</v>
      </c>
    </row>
    <row r="399" spans="2:20" hidden="1" outlineLevel="2">
      <c r="B399">
        <f t="shared" si="68"/>
        <v>109</v>
      </c>
      <c r="C399" s="73" t="str">
        <v>SpareOfferD4</v>
      </c>
      <c r="G399" s="101">
        <f t="shared" si="69"/>
        <v>0</v>
      </c>
      <c r="H399" s="101">
        <f t="shared" si="69"/>
        <v>0</v>
      </c>
      <c r="I399" s="101">
        <f t="shared" si="69"/>
        <v>0</v>
      </c>
      <c r="J399" s="101">
        <f t="shared" si="69"/>
        <v>0</v>
      </c>
      <c r="K399" s="101">
        <f t="shared" si="69"/>
        <v>0</v>
      </c>
      <c r="L399" s="101">
        <f t="shared" si="69"/>
        <v>0</v>
      </c>
      <c r="O399" s="101">
        <f t="shared" si="70"/>
        <v>0</v>
      </c>
      <c r="P399" s="101">
        <f t="shared" si="70"/>
        <v>0</v>
      </c>
      <c r="Q399" s="101">
        <f t="shared" si="70"/>
        <v>0</v>
      </c>
      <c r="S399" s="101">
        <f t="shared" si="71"/>
        <v>0</v>
      </c>
      <c r="T399" s="101">
        <f t="shared" si="71"/>
        <v>0</v>
      </c>
    </row>
    <row r="400" spans="2:20" hidden="1" outlineLevel="2">
      <c r="B400">
        <f t="shared" si="68"/>
        <v>110</v>
      </c>
      <c r="C400" s="73" t="str">
        <v>SpareOfferD5</v>
      </c>
      <c r="G400" s="101">
        <f t="shared" si="69"/>
        <v>0</v>
      </c>
      <c r="H400" s="101">
        <f t="shared" si="69"/>
        <v>0</v>
      </c>
      <c r="I400" s="101">
        <f t="shared" si="69"/>
        <v>0</v>
      </c>
      <c r="J400" s="101">
        <f t="shared" si="69"/>
        <v>0</v>
      </c>
      <c r="K400" s="101">
        <f t="shared" si="69"/>
        <v>0</v>
      </c>
      <c r="L400" s="101">
        <f t="shared" si="69"/>
        <v>0</v>
      </c>
      <c r="O400" s="101">
        <f t="shared" si="70"/>
        <v>0</v>
      </c>
      <c r="P400" s="101">
        <f t="shared" si="70"/>
        <v>0</v>
      </c>
      <c r="Q400" s="101">
        <f t="shared" si="70"/>
        <v>0</v>
      </c>
      <c r="S400" s="101">
        <f t="shared" si="71"/>
        <v>0</v>
      </c>
      <c r="T400" s="101">
        <f t="shared" si="71"/>
        <v>0</v>
      </c>
    </row>
    <row r="401" spans="2:20" hidden="1" outlineLevel="2">
      <c r="B401">
        <f t="shared" si="68"/>
        <v>111</v>
      </c>
      <c r="C401" s="73" t="str">
        <v>SpareOfferD6</v>
      </c>
      <c r="G401" s="101">
        <f t="shared" si="69"/>
        <v>0</v>
      </c>
      <c r="H401" s="101">
        <f t="shared" si="69"/>
        <v>0</v>
      </c>
      <c r="I401" s="101">
        <f t="shared" si="69"/>
        <v>0</v>
      </c>
      <c r="J401" s="101">
        <f t="shared" si="69"/>
        <v>0</v>
      </c>
      <c r="K401" s="101">
        <f t="shared" si="69"/>
        <v>0</v>
      </c>
      <c r="L401" s="101">
        <f t="shared" si="69"/>
        <v>0</v>
      </c>
      <c r="O401" s="101">
        <f t="shared" si="70"/>
        <v>0</v>
      </c>
      <c r="P401" s="101">
        <f t="shared" si="70"/>
        <v>0</v>
      </c>
      <c r="Q401" s="101">
        <f t="shared" si="70"/>
        <v>0</v>
      </c>
      <c r="S401" s="101">
        <f t="shared" si="71"/>
        <v>0</v>
      </c>
      <c r="T401" s="101">
        <f t="shared" si="71"/>
        <v>0</v>
      </c>
    </row>
    <row r="402" spans="2:20" hidden="1" outlineLevel="2">
      <c r="B402">
        <f t="shared" si="68"/>
        <v>112</v>
      </c>
      <c r="C402" s="73" t="str">
        <v>SpareOfferD7</v>
      </c>
      <c r="G402" s="101">
        <f t="shared" si="69"/>
        <v>0</v>
      </c>
      <c r="H402" s="101">
        <f t="shared" si="69"/>
        <v>0</v>
      </c>
      <c r="I402" s="101">
        <f t="shared" si="69"/>
        <v>0</v>
      </c>
      <c r="J402" s="101">
        <f t="shared" si="69"/>
        <v>0</v>
      </c>
      <c r="K402" s="101">
        <f t="shared" si="69"/>
        <v>0</v>
      </c>
      <c r="L402" s="101">
        <f t="shared" si="69"/>
        <v>0</v>
      </c>
      <c r="O402" s="101">
        <f t="shared" si="70"/>
        <v>0</v>
      </c>
      <c r="P402" s="101">
        <f t="shared" si="70"/>
        <v>0</v>
      </c>
      <c r="Q402" s="101">
        <f t="shared" si="70"/>
        <v>0</v>
      </c>
      <c r="S402" s="101">
        <f t="shared" si="71"/>
        <v>0</v>
      </c>
      <c r="T402" s="101">
        <f t="shared" si="71"/>
        <v>0</v>
      </c>
    </row>
    <row r="403" spans="2:20" hidden="1" outlineLevel="2">
      <c r="B403">
        <f t="shared" si="68"/>
        <v>113</v>
      </c>
      <c r="C403" s="73" t="str">
        <v>SpareOfferD8</v>
      </c>
      <c r="G403" s="101">
        <f t="shared" si="69"/>
        <v>0</v>
      </c>
      <c r="H403" s="101">
        <f t="shared" si="69"/>
        <v>0</v>
      </c>
      <c r="I403" s="101">
        <f t="shared" si="69"/>
        <v>0</v>
      </c>
      <c r="J403" s="101">
        <f t="shared" si="69"/>
        <v>0</v>
      </c>
      <c r="K403" s="101">
        <f t="shared" si="69"/>
        <v>0</v>
      </c>
      <c r="L403" s="101">
        <f t="shared" si="69"/>
        <v>0</v>
      </c>
      <c r="O403" s="101">
        <f t="shared" si="70"/>
        <v>0</v>
      </c>
      <c r="P403" s="101">
        <f t="shared" si="70"/>
        <v>0</v>
      </c>
      <c r="Q403" s="101">
        <f t="shared" si="70"/>
        <v>0</v>
      </c>
      <c r="S403" s="101">
        <f t="shared" si="71"/>
        <v>0</v>
      </c>
      <c r="T403" s="101">
        <f t="shared" si="71"/>
        <v>0</v>
      </c>
    </row>
    <row r="404" spans="2:20" hidden="1" outlineLevel="2">
      <c r="B404">
        <f t="shared" si="68"/>
        <v>114</v>
      </c>
      <c r="C404" s="73" t="str">
        <v>SpareOfferD9</v>
      </c>
      <c r="G404" s="101">
        <f t="shared" si="69"/>
        <v>0</v>
      </c>
      <c r="H404" s="101">
        <f t="shared" si="69"/>
        <v>0</v>
      </c>
      <c r="I404" s="101">
        <f t="shared" si="69"/>
        <v>0</v>
      </c>
      <c r="J404" s="101">
        <f t="shared" si="69"/>
        <v>0</v>
      </c>
      <c r="K404" s="101">
        <f t="shared" si="69"/>
        <v>0</v>
      </c>
      <c r="L404" s="101">
        <f t="shared" si="69"/>
        <v>0</v>
      </c>
      <c r="O404" s="101">
        <f t="shared" si="70"/>
        <v>0</v>
      </c>
      <c r="P404" s="101">
        <f t="shared" si="70"/>
        <v>0</v>
      </c>
      <c r="Q404" s="101">
        <f t="shared" si="70"/>
        <v>0</v>
      </c>
      <c r="S404" s="101">
        <f t="shared" si="71"/>
        <v>0</v>
      </c>
      <c r="T404" s="101">
        <f t="shared" si="71"/>
        <v>0</v>
      </c>
    </row>
    <row r="405" spans="2:20" hidden="1" outlineLevel="2">
      <c r="B405">
        <f t="shared" si="68"/>
        <v>115</v>
      </c>
      <c r="C405" s="73" t="str">
        <v>SpareOfferD10</v>
      </c>
      <c r="G405" s="101">
        <f t="shared" si="69"/>
        <v>0</v>
      </c>
      <c r="H405" s="101">
        <f t="shared" si="69"/>
        <v>0</v>
      </c>
      <c r="I405" s="101">
        <f t="shared" si="69"/>
        <v>0</v>
      </c>
      <c r="J405" s="101">
        <f t="shared" si="69"/>
        <v>0</v>
      </c>
      <c r="K405" s="101">
        <f t="shared" si="69"/>
        <v>0</v>
      </c>
      <c r="L405" s="101">
        <f t="shared" si="69"/>
        <v>0</v>
      </c>
      <c r="O405" s="101">
        <f t="shared" si="70"/>
        <v>0</v>
      </c>
      <c r="P405" s="101">
        <f t="shared" si="70"/>
        <v>0</v>
      </c>
      <c r="Q405" s="101">
        <f t="shared" si="70"/>
        <v>0</v>
      </c>
      <c r="S405" s="101">
        <f t="shared" si="71"/>
        <v>0</v>
      </c>
      <c r="T405" s="101">
        <f t="shared" si="71"/>
        <v>0</v>
      </c>
    </row>
    <row r="406" spans="2:20" hidden="1" outlineLevel="2">
      <c r="B406">
        <f t="shared" si="68"/>
        <v>116</v>
      </c>
      <c r="C406" s="73" t="str">
        <v>SpareOfferD11</v>
      </c>
      <c r="G406" s="101">
        <f t="shared" ref="G406:L415" si="72">INDEX(per.sub.volumes.by.demand.descriptions,$B406,MATCH(G$395,demand.descriptions.short,0))</f>
        <v>0</v>
      </c>
      <c r="H406" s="101">
        <f t="shared" si="72"/>
        <v>0</v>
      </c>
      <c r="I406" s="101">
        <f t="shared" si="72"/>
        <v>0</v>
      </c>
      <c r="J406" s="101">
        <f t="shared" si="72"/>
        <v>0</v>
      </c>
      <c r="K406" s="101">
        <f t="shared" si="72"/>
        <v>0</v>
      </c>
      <c r="L406" s="101">
        <f t="shared" si="72"/>
        <v>0</v>
      </c>
      <c r="O406" s="101">
        <f t="shared" si="70"/>
        <v>0</v>
      </c>
      <c r="P406" s="101">
        <f t="shared" si="70"/>
        <v>0</v>
      </c>
      <c r="Q406" s="101">
        <f t="shared" si="70"/>
        <v>0</v>
      </c>
      <c r="S406" s="101">
        <f t="shared" si="71"/>
        <v>0</v>
      </c>
      <c r="T406" s="101">
        <f t="shared" si="71"/>
        <v>0</v>
      </c>
    </row>
    <row r="407" spans="2:20" hidden="1" outlineLevel="2">
      <c r="B407">
        <f t="shared" si="68"/>
        <v>117</v>
      </c>
      <c r="C407" s="73" t="str">
        <v>SpareOfferD12</v>
      </c>
      <c r="G407" s="101">
        <f t="shared" si="72"/>
        <v>0</v>
      </c>
      <c r="H407" s="101">
        <f t="shared" si="72"/>
        <v>0</v>
      </c>
      <c r="I407" s="101">
        <f t="shared" si="72"/>
        <v>0</v>
      </c>
      <c r="J407" s="101">
        <f t="shared" si="72"/>
        <v>0</v>
      </c>
      <c r="K407" s="101">
        <f t="shared" si="72"/>
        <v>0</v>
      </c>
      <c r="L407" s="101">
        <f t="shared" si="72"/>
        <v>0</v>
      </c>
      <c r="O407" s="101">
        <f t="shared" si="70"/>
        <v>0</v>
      </c>
      <c r="P407" s="101">
        <f t="shared" si="70"/>
        <v>0</v>
      </c>
      <c r="Q407" s="101">
        <f t="shared" si="70"/>
        <v>0</v>
      </c>
      <c r="S407" s="101">
        <f t="shared" si="71"/>
        <v>0</v>
      </c>
      <c r="T407" s="101">
        <f t="shared" si="71"/>
        <v>0</v>
      </c>
    </row>
    <row r="408" spans="2:20" hidden="1" outlineLevel="2">
      <c r="B408">
        <f t="shared" si="68"/>
        <v>118</v>
      </c>
      <c r="C408" s="73" t="str">
        <v>SpareOfferD13</v>
      </c>
      <c r="G408" s="101">
        <f t="shared" si="72"/>
        <v>0</v>
      </c>
      <c r="H408" s="101">
        <f t="shared" si="72"/>
        <v>0</v>
      </c>
      <c r="I408" s="101">
        <f t="shared" si="72"/>
        <v>0</v>
      </c>
      <c r="J408" s="101">
        <f t="shared" si="72"/>
        <v>0</v>
      </c>
      <c r="K408" s="101">
        <f t="shared" si="72"/>
        <v>0</v>
      </c>
      <c r="L408" s="101">
        <f t="shared" si="72"/>
        <v>0</v>
      </c>
      <c r="O408" s="101">
        <f t="shared" si="70"/>
        <v>0</v>
      </c>
      <c r="P408" s="101">
        <f t="shared" si="70"/>
        <v>0</v>
      </c>
      <c r="Q408" s="101">
        <f t="shared" si="70"/>
        <v>0</v>
      </c>
      <c r="S408" s="101">
        <f t="shared" si="71"/>
        <v>0</v>
      </c>
      <c r="T408" s="101">
        <f t="shared" si="71"/>
        <v>0</v>
      </c>
    </row>
    <row r="409" spans="2:20" hidden="1" outlineLevel="2">
      <c r="B409">
        <f t="shared" si="68"/>
        <v>119</v>
      </c>
      <c r="C409" s="73" t="str">
        <v>SpareOfferD14</v>
      </c>
      <c r="G409" s="101">
        <f t="shared" si="72"/>
        <v>0</v>
      </c>
      <c r="H409" s="101">
        <f t="shared" si="72"/>
        <v>0</v>
      </c>
      <c r="I409" s="101">
        <f t="shared" si="72"/>
        <v>0</v>
      </c>
      <c r="J409" s="101">
        <f t="shared" si="72"/>
        <v>0</v>
      </c>
      <c r="K409" s="101">
        <f t="shared" si="72"/>
        <v>0</v>
      </c>
      <c r="L409" s="101">
        <f t="shared" si="72"/>
        <v>0</v>
      </c>
      <c r="O409" s="101">
        <f t="shared" si="70"/>
        <v>0</v>
      </c>
      <c r="P409" s="101">
        <f t="shared" si="70"/>
        <v>0</v>
      </c>
      <c r="Q409" s="101">
        <f t="shared" si="70"/>
        <v>0</v>
      </c>
      <c r="S409" s="101">
        <f t="shared" si="71"/>
        <v>0</v>
      </c>
      <c r="T409" s="101">
        <f t="shared" si="71"/>
        <v>0</v>
      </c>
    </row>
    <row r="410" spans="2:20" hidden="1" outlineLevel="2">
      <c r="B410">
        <f t="shared" si="68"/>
        <v>120</v>
      </c>
      <c r="C410" s="73" t="str">
        <v>SpareOfferD15</v>
      </c>
      <c r="G410" s="101">
        <f t="shared" si="72"/>
        <v>0</v>
      </c>
      <c r="H410" s="101">
        <f t="shared" si="72"/>
        <v>0</v>
      </c>
      <c r="I410" s="101">
        <f t="shared" si="72"/>
        <v>0</v>
      </c>
      <c r="J410" s="101">
        <f t="shared" si="72"/>
        <v>0</v>
      </c>
      <c r="K410" s="101">
        <f t="shared" si="72"/>
        <v>0</v>
      </c>
      <c r="L410" s="101">
        <f t="shared" si="72"/>
        <v>0</v>
      </c>
      <c r="O410" s="101">
        <f t="shared" si="70"/>
        <v>0</v>
      </c>
      <c r="P410" s="101">
        <f t="shared" si="70"/>
        <v>0</v>
      </c>
      <c r="Q410" s="101">
        <f t="shared" si="70"/>
        <v>0</v>
      </c>
      <c r="S410" s="101">
        <f t="shared" si="71"/>
        <v>0</v>
      </c>
      <c r="T410" s="101">
        <f t="shared" si="71"/>
        <v>0</v>
      </c>
    </row>
    <row r="411" spans="2:20" hidden="1" outlineLevel="2">
      <c r="B411">
        <f t="shared" si="68"/>
        <v>121</v>
      </c>
      <c r="C411" s="73" t="str">
        <v>SpareOfferD16</v>
      </c>
      <c r="G411" s="101">
        <f t="shared" si="72"/>
        <v>0</v>
      </c>
      <c r="H411" s="101">
        <f t="shared" si="72"/>
        <v>0</v>
      </c>
      <c r="I411" s="101">
        <f t="shared" si="72"/>
        <v>0</v>
      </c>
      <c r="J411" s="101">
        <f t="shared" si="72"/>
        <v>0</v>
      </c>
      <c r="K411" s="101">
        <f t="shared" si="72"/>
        <v>0</v>
      </c>
      <c r="L411" s="101">
        <f t="shared" si="72"/>
        <v>0</v>
      </c>
      <c r="O411" s="101">
        <f t="shared" si="70"/>
        <v>0</v>
      </c>
      <c r="P411" s="101">
        <f t="shared" si="70"/>
        <v>0</v>
      </c>
      <c r="Q411" s="101">
        <f t="shared" si="70"/>
        <v>0</v>
      </c>
      <c r="S411" s="101">
        <f t="shared" si="71"/>
        <v>0</v>
      </c>
      <c r="T411" s="101">
        <f t="shared" si="71"/>
        <v>0</v>
      </c>
    </row>
    <row r="412" spans="2:20" hidden="1" outlineLevel="2">
      <c r="B412">
        <f t="shared" si="68"/>
        <v>122</v>
      </c>
      <c r="C412" s="73" t="str">
        <v>SpareOfferD17</v>
      </c>
      <c r="G412" s="101">
        <f t="shared" si="72"/>
        <v>0</v>
      </c>
      <c r="H412" s="101">
        <f t="shared" si="72"/>
        <v>0</v>
      </c>
      <c r="I412" s="101">
        <f t="shared" si="72"/>
        <v>0</v>
      </c>
      <c r="J412" s="101">
        <f t="shared" si="72"/>
        <v>0</v>
      </c>
      <c r="K412" s="101">
        <f t="shared" si="72"/>
        <v>0</v>
      </c>
      <c r="L412" s="101">
        <f t="shared" si="72"/>
        <v>0</v>
      </c>
      <c r="O412" s="101">
        <f t="shared" si="70"/>
        <v>0</v>
      </c>
      <c r="P412" s="101">
        <f t="shared" si="70"/>
        <v>0</v>
      </c>
      <c r="Q412" s="101">
        <f t="shared" si="70"/>
        <v>0</v>
      </c>
      <c r="S412" s="101">
        <f t="shared" si="71"/>
        <v>0</v>
      </c>
      <c r="T412" s="101">
        <f t="shared" si="71"/>
        <v>0</v>
      </c>
    </row>
    <row r="413" spans="2:20" hidden="1" outlineLevel="2">
      <c r="B413">
        <f t="shared" si="68"/>
        <v>123</v>
      </c>
      <c r="C413" s="73" t="str">
        <v>SpareOfferD18</v>
      </c>
      <c r="G413" s="101">
        <f t="shared" si="72"/>
        <v>0</v>
      </c>
      <c r="H413" s="101">
        <f t="shared" si="72"/>
        <v>0</v>
      </c>
      <c r="I413" s="101">
        <f t="shared" si="72"/>
        <v>0</v>
      </c>
      <c r="J413" s="101">
        <f t="shared" si="72"/>
        <v>0</v>
      </c>
      <c r="K413" s="101">
        <f t="shared" si="72"/>
        <v>0</v>
      </c>
      <c r="L413" s="101">
        <f t="shared" si="72"/>
        <v>0</v>
      </c>
      <c r="O413" s="101">
        <f t="shared" si="70"/>
        <v>0</v>
      </c>
      <c r="P413" s="101">
        <f t="shared" si="70"/>
        <v>0</v>
      </c>
      <c r="Q413" s="101">
        <f t="shared" si="70"/>
        <v>0</v>
      </c>
      <c r="S413" s="101">
        <f t="shared" si="71"/>
        <v>0</v>
      </c>
      <c r="T413" s="101">
        <f t="shared" si="71"/>
        <v>0</v>
      </c>
    </row>
    <row r="414" spans="2:20" hidden="1" outlineLevel="2">
      <c r="B414">
        <f t="shared" si="68"/>
        <v>124</v>
      </c>
      <c r="C414" s="73" t="str">
        <v>SpareOfferD19</v>
      </c>
      <c r="G414" s="101">
        <f t="shared" si="72"/>
        <v>0</v>
      </c>
      <c r="H414" s="101">
        <f t="shared" si="72"/>
        <v>0</v>
      </c>
      <c r="I414" s="101">
        <f t="shared" si="72"/>
        <v>0</v>
      </c>
      <c r="J414" s="101">
        <f t="shared" si="72"/>
        <v>0</v>
      </c>
      <c r="K414" s="101">
        <f t="shared" si="72"/>
        <v>0</v>
      </c>
      <c r="L414" s="101">
        <f t="shared" si="72"/>
        <v>0</v>
      </c>
      <c r="O414" s="101">
        <f t="shared" si="70"/>
        <v>0</v>
      </c>
      <c r="P414" s="101">
        <f t="shared" si="70"/>
        <v>0</v>
      </c>
      <c r="Q414" s="101">
        <f t="shared" si="70"/>
        <v>0</v>
      </c>
      <c r="S414" s="101">
        <f t="shared" si="71"/>
        <v>0</v>
      </c>
      <c r="T414" s="101">
        <f t="shared" si="71"/>
        <v>0</v>
      </c>
    </row>
    <row r="415" spans="2:20" hidden="1" outlineLevel="2">
      <c r="B415">
        <f t="shared" si="68"/>
        <v>125</v>
      </c>
      <c r="C415" s="73" t="str">
        <v>SpareOfferD20</v>
      </c>
      <c r="G415" s="101">
        <f t="shared" si="72"/>
        <v>0</v>
      </c>
      <c r="H415" s="101">
        <f t="shared" si="72"/>
        <v>0</v>
      </c>
      <c r="I415" s="101">
        <f t="shared" si="72"/>
        <v>0</v>
      </c>
      <c r="J415" s="101">
        <f t="shared" si="72"/>
        <v>0</v>
      </c>
      <c r="K415" s="101">
        <f t="shared" si="72"/>
        <v>0</v>
      </c>
      <c r="L415" s="101">
        <f t="shared" si="72"/>
        <v>0</v>
      </c>
      <c r="O415" s="101">
        <f t="shared" si="70"/>
        <v>0</v>
      </c>
      <c r="P415" s="101">
        <f t="shared" si="70"/>
        <v>0</v>
      </c>
      <c r="Q415" s="101">
        <f t="shared" si="70"/>
        <v>0</v>
      </c>
      <c r="S415" s="101">
        <f t="shared" si="71"/>
        <v>0</v>
      </c>
      <c r="T415" s="101">
        <f t="shared" si="71"/>
        <v>0</v>
      </c>
    </row>
    <row r="416" spans="2:20" hidden="1" outlineLevel="2">
      <c r="B416">
        <f t="shared" si="68"/>
        <v>126</v>
      </c>
      <c r="C416" s="73" t="str">
        <v>SpareOfferD21</v>
      </c>
      <c r="G416" s="101">
        <f t="shared" ref="G416:L430" si="73">INDEX(per.sub.volumes.by.demand.descriptions,$B416,MATCH(G$395,demand.descriptions.short,0))</f>
        <v>0</v>
      </c>
      <c r="H416" s="101">
        <f t="shared" si="73"/>
        <v>0</v>
      </c>
      <c r="I416" s="101">
        <f t="shared" si="73"/>
        <v>0</v>
      </c>
      <c r="J416" s="101">
        <f t="shared" si="73"/>
        <v>0</v>
      </c>
      <c r="K416" s="101">
        <f t="shared" si="73"/>
        <v>0</v>
      </c>
      <c r="L416" s="101">
        <f t="shared" si="73"/>
        <v>0</v>
      </c>
      <c r="O416" s="101">
        <f t="shared" ref="O416:Q430" si="74">INDEX(per.sub.volumes.by.demand.descriptions,$B416,MATCH(O$395,demand.descriptions.short,0))</f>
        <v>0</v>
      </c>
      <c r="P416" s="101">
        <f t="shared" si="74"/>
        <v>0</v>
      </c>
      <c r="Q416" s="101">
        <f t="shared" si="74"/>
        <v>0</v>
      </c>
      <c r="S416" s="101">
        <f t="shared" ref="S416:T430" si="75">INDEX(per.sub.volumes.by.demand.descriptions,$B416,MATCH(S$395,demand.descriptions.short,0))</f>
        <v>0</v>
      </c>
      <c r="T416" s="101">
        <f t="shared" si="75"/>
        <v>0</v>
      </c>
    </row>
    <row r="417" spans="2:20" hidden="1" outlineLevel="2">
      <c r="B417">
        <f t="shared" si="68"/>
        <v>127</v>
      </c>
      <c r="C417" s="73" t="str">
        <v>SpareOfferD22</v>
      </c>
      <c r="G417" s="101">
        <f t="shared" si="73"/>
        <v>0</v>
      </c>
      <c r="H417" s="101">
        <f t="shared" si="73"/>
        <v>0</v>
      </c>
      <c r="I417" s="101">
        <f t="shared" si="73"/>
        <v>0</v>
      </c>
      <c r="J417" s="101">
        <f t="shared" si="73"/>
        <v>0</v>
      </c>
      <c r="K417" s="101">
        <f t="shared" si="73"/>
        <v>0</v>
      </c>
      <c r="L417" s="101">
        <f t="shared" si="73"/>
        <v>0</v>
      </c>
      <c r="O417" s="101">
        <f t="shared" si="74"/>
        <v>0</v>
      </c>
      <c r="P417" s="101">
        <f t="shared" si="74"/>
        <v>0</v>
      </c>
      <c r="Q417" s="101">
        <f t="shared" si="74"/>
        <v>0</v>
      </c>
      <c r="S417" s="101">
        <f t="shared" si="75"/>
        <v>0</v>
      </c>
      <c r="T417" s="101">
        <f t="shared" si="75"/>
        <v>0</v>
      </c>
    </row>
    <row r="418" spans="2:20" hidden="1" outlineLevel="2">
      <c r="B418">
        <f t="shared" si="68"/>
        <v>128</v>
      </c>
      <c r="C418" s="73" t="str">
        <v>SpareOfferD23</v>
      </c>
      <c r="G418" s="101">
        <f t="shared" si="73"/>
        <v>0</v>
      </c>
      <c r="H418" s="101">
        <f t="shared" si="73"/>
        <v>0</v>
      </c>
      <c r="I418" s="101">
        <f t="shared" si="73"/>
        <v>0</v>
      </c>
      <c r="J418" s="101">
        <f t="shared" si="73"/>
        <v>0</v>
      </c>
      <c r="K418" s="101">
        <f t="shared" si="73"/>
        <v>0</v>
      </c>
      <c r="L418" s="101">
        <f t="shared" si="73"/>
        <v>0</v>
      </c>
      <c r="O418" s="101">
        <f t="shared" si="74"/>
        <v>0</v>
      </c>
      <c r="P418" s="101">
        <f t="shared" si="74"/>
        <v>0</v>
      </c>
      <c r="Q418" s="101">
        <f t="shared" si="74"/>
        <v>0</v>
      </c>
      <c r="S418" s="101">
        <f t="shared" si="75"/>
        <v>0</v>
      </c>
      <c r="T418" s="101">
        <f t="shared" si="75"/>
        <v>0</v>
      </c>
    </row>
    <row r="419" spans="2:20" hidden="1" outlineLevel="2">
      <c r="B419">
        <f t="shared" si="68"/>
        <v>129</v>
      </c>
      <c r="C419" s="73" t="str">
        <v>SpareOfferD24</v>
      </c>
      <c r="G419" s="101">
        <f t="shared" si="73"/>
        <v>0</v>
      </c>
      <c r="H419" s="101">
        <f t="shared" si="73"/>
        <v>0</v>
      </c>
      <c r="I419" s="101">
        <f t="shared" si="73"/>
        <v>0</v>
      </c>
      <c r="J419" s="101">
        <f t="shared" si="73"/>
        <v>0</v>
      </c>
      <c r="K419" s="101">
        <f t="shared" si="73"/>
        <v>0</v>
      </c>
      <c r="L419" s="101">
        <f t="shared" si="73"/>
        <v>0</v>
      </c>
      <c r="O419" s="101">
        <f t="shared" si="74"/>
        <v>0</v>
      </c>
      <c r="P419" s="101">
        <f t="shared" si="74"/>
        <v>0</v>
      </c>
      <c r="Q419" s="101">
        <f t="shared" si="74"/>
        <v>0</v>
      </c>
      <c r="S419" s="101">
        <f t="shared" si="75"/>
        <v>0</v>
      </c>
      <c r="T419" s="101">
        <f t="shared" si="75"/>
        <v>0</v>
      </c>
    </row>
    <row r="420" spans="2:20" hidden="1" outlineLevel="2">
      <c r="B420">
        <f t="shared" si="68"/>
        <v>130</v>
      </c>
      <c r="C420" s="73" t="str">
        <v>SpareOfferD25</v>
      </c>
      <c r="G420" s="101">
        <f t="shared" si="73"/>
        <v>0</v>
      </c>
      <c r="H420" s="101">
        <f t="shared" si="73"/>
        <v>0</v>
      </c>
      <c r="I420" s="101">
        <f t="shared" si="73"/>
        <v>0</v>
      </c>
      <c r="J420" s="101">
        <f t="shared" si="73"/>
        <v>0</v>
      </c>
      <c r="K420" s="101">
        <f t="shared" si="73"/>
        <v>0</v>
      </c>
      <c r="L420" s="101">
        <f t="shared" si="73"/>
        <v>0</v>
      </c>
      <c r="O420" s="101">
        <f t="shared" si="74"/>
        <v>0</v>
      </c>
      <c r="P420" s="101">
        <f t="shared" si="74"/>
        <v>0</v>
      </c>
      <c r="Q420" s="101">
        <f t="shared" si="74"/>
        <v>0</v>
      </c>
      <c r="S420" s="101">
        <f t="shared" si="75"/>
        <v>0</v>
      </c>
      <c r="T420" s="101">
        <f t="shared" si="75"/>
        <v>0</v>
      </c>
    </row>
    <row r="421" spans="2:20" hidden="1" outlineLevel="2">
      <c r="B421">
        <f t="shared" si="68"/>
        <v>131</v>
      </c>
      <c r="C421" s="73" t="str">
        <v>SpareOfferD26</v>
      </c>
      <c r="G421" s="101">
        <f t="shared" si="73"/>
        <v>0</v>
      </c>
      <c r="H421" s="101">
        <f t="shared" si="73"/>
        <v>0</v>
      </c>
      <c r="I421" s="101">
        <f t="shared" si="73"/>
        <v>0</v>
      </c>
      <c r="J421" s="101">
        <f t="shared" si="73"/>
        <v>0</v>
      </c>
      <c r="K421" s="101">
        <f t="shared" si="73"/>
        <v>0</v>
      </c>
      <c r="L421" s="101">
        <f t="shared" si="73"/>
        <v>0</v>
      </c>
      <c r="O421" s="101">
        <f t="shared" si="74"/>
        <v>0</v>
      </c>
      <c r="P421" s="101">
        <f t="shared" si="74"/>
        <v>0</v>
      </c>
      <c r="Q421" s="101">
        <f t="shared" si="74"/>
        <v>0</v>
      </c>
      <c r="S421" s="101">
        <f t="shared" si="75"/>
        <v>0</v>
      </c>
      <c r="T421" s="101">
        <f t="shared" si="75"/>
        <v>0</v>
      </c>
    </row>
    <row r="422" spans="2:20" hidden="1" outlineLevel="2">
      <c r="B422">
        <f t="shared" si="68"/>
        <v>132</v>
      </c>
      <c r="C422" s="73" t="str">
        <v>SpareOfferD27</v>
      </c>
      <c r="G422" s="101">
        <f t="shared" si="73"/>
        <v>0</v>
      </c>
      <c r="H422" s="101">
        <f t="shared" si="73"/>
        <v>0</v>
      </c>
      <c r="I422" s="101">
        <f t="shared" si="73"/>
        <v>0</v>
      </c>
      <c r="J422" s="101">
        <f t="shared" si="73"/>
        <v>0</v>
      </c>
      <c r="K422" s="101">
        <f t="shared" si="73"/>
        <v>0</v>
      </c>
      <c r="L422" s="101">
        <f t="shared" si="73"/>
        <v>0</v>
      </c>
      <c r="O422" s="101">
        <f t="shared" si="74"/>
        <v>0</v>
      </c>
      <c r="P422" s="101">
        <f t="shared" si="74"/>
        <v>0</v>
      </c>
      <c r="Q422" s="101">
        <f t="shared" si="74"/>
        <v>0</v>
      </c>
      <c r="S422" s="101">
        <f t="shared" si="75"/>
        <v>0</v>
      </c>
      <c r="T422" s="101">
        <f t="shared" si="75"/>
        <v>0</v>
      </c>
    </row>
    <row r="423" spans="2:20" hidden="1" outlineLevel="2">
      <c r="B423">
        <f t="shared" si="68"/>
        <v>133</v>
      </c>
      <c r="C423" s="73" t="str">
        <v>SpareOfferD28</v>
      </c>
      <c r="G423" s="101">
        <f t="shared" si="73"/>
        <v>0</v>
      </c>
      <c r="H423" s="101">
        <f t="shared" si="73"/>
        <v>0</v>
      </c>
      <c r="I423" s="101">
        <f t="shared" si="73"/>
        <v>0</v>
      </c>
      <c r="J423" s="101">
        <f t="shared" si="73"/>
        <v>0</v>
      </c>
      <c r="K423" s="101">
        <f t="shared" si="73"/>
        <v>0</v>
      </c>
      <c r="L423" s="101">
        <f t="shared" si="73"/>
        <v>0</v>
      </c>
      <c r="O423" s="101">
        <f t="shared" si="74"/>
        <v>0</v>
      </c>
      <c r="P423" s="101">
        <f t="shared" si="74"/>
        <v>0</v>
      </c>
      <c r="Q423" s="101">
        <f t="shared" si="74"/>
        <v>0</v>
      </c>
      <c r="S423" s="101">
        <f t="shared" si="75"/>
        <v>0</v>
      </c>
      <c r="T423" s="101">
        <f t="shared" si="75"/>
        <v>0</v>
      </c>
    </row>
    <row r="424" spans="2:20" hidden="1" outlineLevel="2">
      <c r="B424">
        <f t="shared" si="68"/>
        <v>134</v>
      </c>
      <c r="C424" s="73" t="str">
        <v>SpareOfferD29</v>
      </c>
      <c r="G424" s="101">
        <f t="shared" si="73"/>
        <v>0</v>
      </c>
      <c r="H424" s="101">
        <f t="shared" si="73"/>
        <v>0</v>
      </c>
      <c r="I424" s="101">
        <f t="shared" si="73"/>
        <v>0</v>
      </c>
      <c r="J424" s="101">
        <f t="shared" si="73"/>
        <v>0</v>
      </c>
      <c r="K424" s="101">
        <f t="shared" si="73"/>
        <v>0</v>
      </c>
      <c r="L424" s="101">
        <f t="shared" si="73"/>
        <v>0</v>
      </c>
      <c r="O424" s="101">
        <f t="shared" si="74"/>
        <v>0</v>
      </c>
      <c r="P424" s="101">
        <f t="shared" si="74"/>
        <v>0</v>
      </c>
      <c r="Q424" s="101">
        <f t="shared" si="74"/>
        <v>0</v>
      </c>
      <c r="S424" s="101">
        <f t="shared" si="75"/>
        <v>0</v>
      </c>
      <c r="T424" s="101">
        <f t="shared" si="75"/>
        <v>0</v>
      </c>
    </row>
    <row r="425" spans="2:20" hidden="1" outlineLevel="2">
      <c r="B425">
        <f t="shared" si="68"/>
        <v>135</v>
      </c>
      <c r="C425" s="73" t="str">
        <v>SpareOfferD30</v>
      </c>
      <c r="G425" s="101">
        <f t="shared" si="73"/>
        <v>0</v>
      </c>
      <c r="H425" s="101">
        <f t="shared" si="73"/>
        <v>0</v>
      </c>
      <c r="I425" s="101">
        <f t="shared" si="73"/>
        <v>0</v>
      </c>
      <c r="J425" s="101">
        <f t="shared" si="73"/>
        <v>0</v>
      </c>
      <c r="K425" s="101">
        <f t="shared" si="73"/>
        <v>0</v>
      </c>
      <c r="L425" s="101">
        <f t="shared" si="73"/>
        <v>0</v>
      </c>
      <c r="O425" s="101">
        <f t="shared" si="74"/>
        <v>0</v>
      </c>
      <c r="P425" s="101">
        <f t="shared" si="74"/>
        <v>0</v>
      </c>
      <c r="Q425" s="101">
        <f t="shared" si="74"/>
        <v>0</v>
      </c>
      <c r="S425" s="101">
        <f t="shared" si="75"/>
        <v>0</v>
      </c>
      <c r="T425" s="101">
        <f t="shared" si="75"/>
        <v>0</v>
      </c>
    </row>
    <row r="426" spans="2:20" hidden="1" outlineLevel="2">
      <c r="B426">
        <f t="shared" si="68"/>
        <v>136</v>
      </c>
      <c r="C426" s="73" t="str">
        <v>SpareOfferD31</v>
      </c>
      <c r="G426" s="101">
        <f t="shared" si="73"/>
        <v>0</v>
      </c>
      <c r="H426" s="101">
        <f t="shared" si="73"/>
        <v>0</v>
      </c>
      <c r="I426" s="101">
        <f t="shared" si="73"/>
        <v>0</v>
      </c>
      <c r="J426" s="101">
        <f t="shared" si="73"/>
        <v>0</v>
      </c>
      <c r="K426" s="101">
        <f t="shared" si="73"/>
        <v>0</v>
      </c>
      <c r="L426" s="101">
        <f t="shared" si="73"/>
        <v>0</v>
      </c>
      <c r="O426" s="101">
        <f t="shared" si="74"/>
        <v>0</v>
      </c>
      <c r="P426" s="101">
        <f t="shared" si="74"/>
        <v>0</v>
      </c>
      <c r="Q426" s="101">
        <f t="shared" si="74"/>
        <v>0</v>
      </c>
      <c r="S426" s="101">
        <f t="shared" si="75"/>
        <v>0</v>
      </c>
      <c r="T426" s="101">
        <f t="shared" si="75"/>
        <v>0</v>
      </c>
    </row>
    <row r="427" spans="2:20" hidden="1" outlineLevel="2">
      <c r="B427">
        <f t="shared" si="68"/>
        <v>137</v>
      </c>
      <c r="C427" s="73" t="str">
        <v>SpareOfferD32</v>
      </c>
      <c r="G427" s="101">
        <f t="shared" si="73"/>
        <v>0</v>
      </c>
      <c r="H427" s="101">
        <f t="shared" si="73"/>
        <v>0</v>
      </c>
      <c r="I427" s="101">
        <f t="shared" si="73"/>
        <v>0</v>
      </c>
      <c r="J427" s="101">
        <f t="shared" si="73"/>
        <v>0</v>
      </c>
      <c r="K427" s="101">
        <f t="shared" si="73"/>
        <v>0</v>
      </c>
      <c r="L427" s="101">
        <f t="shared" si="73"/>
        <v>0</v>
      </c>
      <c r="O427" s="101">
        <f t="shared" si="74"/>
        <v>0</v>
      </c>
      <c r="P427" s="101">
        <f t="shared" si="74"/>
        <v>0</v>
      </c>
      <c r="Q427" s="101">
        <f t="shared" si="74"/>
        <v>0</v>
      </c>
      <c r="S427" s="101">
        <f t="shared" si="75"/>
        <v>0</v>
      </c>
      <c r="T427" s="101">
        <f t="shared" si="75"/>
        <v>0</v>
      </c>
    </row>
    <row r="428" spans="2:20" hidden="1" outlineLevel="2">
      <c r="B428">
        <f t="shared" si="68"/>
        <v>138</v>
      </c>
      <c r="C428" s="73" t="str">
        <v>SpareOfferD33</v>
      </c>
      <c r="G428" s="101">
        <f t="shared" si="73"/>
        <v>0</v>
      </c>
      <c r="H428" s="101">
        <f t="shared" si="73"/>
        <v>0</v>
      </c>
      <c r="I428" s="101">
        <f t="shared" si="73"/>
        <v>0</v>
      </c>
      <c r="J428" s="101">
        <f t="shared" si="73"/>
        <v>0</v>
      </c>
      <c r="K428" s="101">
        <f t="shared" si="73"/>
        <v>0</v>
      </c>
      <c r="L428" s="101">
        <f t="shared" si="73"/>
        <v>0</v>
      </c>
      <c r="O428" s="101">
        <f t="shared" si="74"/>
        <v>0</v>
      </c>
      <c r="P428" s="101">
        <f t="shared" si="74"/>
        <v>0</v>
      </c>
      <c r="Q428" s="101">
        <f t="shared" si="74"/>
        <v>0</v>
      </c>
      <c r="S428" s="101">
        <f t="shared" si="75"/>
        <v>0</v>
      </c>
      <c r="T428" s="101">
        <f t="shared" si="75"/>
        <v>0</v>
      </c>
    </row>
    <row r="429" spans="2:20" hidden="1" outlineLevel="2">
      <c r="B429">
        <f t="shared" si="68"/>
        <v>139</v>
      </c>
      <c r="C429" s="73" t="str">
        <v>SpareOfferD34</v>
      </c>
      <c r="G429" s="101">
        <f t="shared" si="73"/>
        <v>0</v>
      </c>
      <c r="H429" s="101">
        <f t="shared" si="73"/>
        <v>0</v>
      </c>
      <c r="I429" s="101">
        <f t="shared" si="73"/>
        <v>0</v>
      </c>
      <c r="J429" s="101">
        <f t="shared" si="73"/>
        <v>0</v>
      </c>
      <c r="K429" s="101">
        <f t="shared" si="73"/>
        <v>0</v>
      </c>
      <c r="L429" s="101">
        <f t="shared" si="73"/>
        <v>0</v>
      </c>
      <c r="O429" s="101">
        <f t="shared" si="74"/>
        <v>0</v>
      </c>
      <c r="P429" s="101">
        <f t="shared" si="74"/>
        <v>0</v>
      </c>
      <c r="Q429" s="101">
        <f t="shared" si="74"/>
        <v>0</v>
      </c>
      <c r="S429" s="101">
        <f t="shared" si="75"/>
        <v>0</v>
      </c>
      <c r="T429" s="101">
        <f t="shared" si="75"/>
        <v>0</v>
      </c>
    </row>
    <row r="430" spans="2:20" outlineLevel="1" collapsed="1">
      <c r="B430">
        <f t="shared" si="68"/>
        <v>140</v>
      </c>
      <c r="C430" s="73" t="str">
        <v>-</v>
      </c>
      <c r="G430" s="101">
        <f t="shared" si="73"/>
        <v>0</v>
      </c>
      <c r="H430" s="101">
        <f t="shared" si="73"/>
        <v>0</v>
      </c>
      <c r="I430" s="101">
        <f t="shared" si="73"/>
        <v>0</v>
      </c>
      <c r="J430" s="101">
        <f t="shared" si="73"/>
        <v>0</v>
      </c>
      <c r="K430" s="101">
        <f t="shared" si="73"/>
        <v>0</v>
      </c>
      <c r="L430" s="101">
        <f t="shared" si="73"/>
        <v>0</v>
      </c>
      <c r="O430" s="101">
        <f t="shared" si="74"/>
        <v>0</v>
      </c>
      <c r="P430" s="101">
        <f t="shared" si="74"/>
        <v>0</v>
      </c>
      <c r="Q430" s="101">
        <f t="shared" si="74"/>
        <v>0</v>
      </c>
      <c r="S430" s="101">
        <f t="shared" si="75"/>
        <v>0</v>
      </c>
      <c r="T430" s="101">
        <f t="shared" si="75"/>
        <v>0</v>
      </c>
    </row>
    <row r="431" spans="2:20" ht="12" outlineLevel="1">
      <c r="S431" s="43" t="s">
        <v>494</v>
      </c>
      <c r="T431" s="43" t="s">
        <v>495</v>
      </c>
    </row>
    <row r="432" spans="2:20" outlineLevel="1">
      <c r="C432" s="91" t="s">
        <v>224</v>
      </c>
    </row>
    <row r="433" spans="3:22" ht="34.5" outlineLevel="1">
      <c r="C433" s="1" t="s">
        <v>309</v>
      </c>
      <c r="F433" s="95" t="s">
        <v>225</v>
      </c>
      <c r="G433" s="95" t="str">
        <f t="array" ref="G433:L433">TRANSPOSE(voice.destination)</f>
        <v>On-net</v>
      </c>
      <c r="H433" s="95" t="str">
        <v>Off-net fixed</v>
      </c>
      <c r="I433" s="95" t="str">
        <v>Off-net mobile</v>
      </c>
      <c r="J433" s="95" t="str">
        <v>International</v>
      </c>
      <c r="K433" s="1" t="str">
        <v>VAS</v>
      </c>
      <c r="L433" s="1" t="str">
        <v>Not used</v>
      </c>
      <c r="N433" s="109" t="s">
        <v>226</v>
      </c>
      <c r="O433" s="95" t="s">
        <v>156</v>
      </c>
      <c r="P433" s="95" t="s">
        <v>157</v>
      </c>
      <c r="Q433" s="95" t="s">
        <v>158</v>
      </c>
      <c r="R433" s="95" t="s">
        <v>159</v>
      </c>
      <c r="S433" s="95" t="s">
        <v>414</v>
      </c>
      <c r="T433" s="95" t="s">
        <v>415</v>
      </c>
      <c r="V433" s="109" t="s">
        <v>166</v>
      </c>
    </row>
    <row r="434" spans="3:22" outlineLevel="1">
      <c r="C434" s="73" t="str">
        <f t="array" ref="C434:C468">offers.segment.4</f>
        <v>SpareOfferD1</v>
      </c>
      <c r="F434" s="136">
        <f>SUM(G434:L434)</f>
        <v>0</v>
      </c>
      <c r="G434" s="167">
        <f t="shared" ref="G434:I453" si="76">$G396*G358</f>
        <v>0</v>
      </c>
      <c r="H434" s="167">
        <f t="shared" si="76"/>
        <v>0</v>
      </c>
      <c r="I434" s="167">
        <f t="shared" si="76"/>
        <v>0</v>
      </c>
      <c r="J434" s="206">
        <f>H396</f>
        <v>0</v>
      </c>
      <c r="K434" s="101">
        <f t="shared" ref="K434:K468" si="77">O396</f>
        <v>0</v>
      </c>
      <c r="L434" s="143"/>
      <c r="N434" s="136">
        <f>SUM(O434:T434)</f>
        <v>0</v>
      </c>
      <c r="O434" s="167">
        <f t="shared" ref="O434:Q453" si="78">$I396*O358</f>
        <v>0</v>
      </c>
      <c r="P434" s="167">
        <f t="shared" si="78"/>
        <v>0</v>
      </c>
      <c r="Q434" s="167">
        <f t="shared" si="78"/>
        <v>0</v>
      </c>
      <c r="R434" s="206">
        <f>J396</f>
        <v>0</v>
      </c>
      <c r="S434" s="144">
        <f t="shared" ref="S434:S468" si="79">P396</f>
        <v>0</v>
      </c>
      <c r="T434" s="144">
        <f t="shared" ref="T434:T468" si="80">Q396</f>
        <v>0</v>
      </c>
      <c r="V434" s="219">
        <f t="shared" ref="V434:V468" si="81">K396*(1+data.uplift.sensitivity)</f>
        <v>0</v>
      </c>
    </row>
    <row r="435" spans="3:22" hidden="1" outlineLevel="2">
      <c r="C435" s="73" t="str">
        <v>SpareOfferD2</v>
      </c>
      <c r="F435" s="136">
        <f t="shared" ref="F435:F468" si="82">SUM(G435:L435)</f>
        <v>0</v>
      </c>
      <c r="G435" s="167">
        <f t="shared" si="76"/>
        <v>0</v>
      </c>
      <c r="H435" s="167">
        <f t="shared" si="76"/>
        <v>0</v>
      </c>
      <c r="I435" s="167">
        <f t="shared" si="76"/>
        <v>0</v>
      </c>
      <c r="J435" s="206">
        <f t="shared" ref="J435:J468" si="83">H397</f>
        <v>0</v>
      </c>
      <c r="K435" s="101">
        <f t="shared" si="77"/>
        <v>0</v>
      </c>
      <c r="L435" s="143"/>
      <c r="N435" s="136">
        <f t="shared" ref="N435:N468" si="84">SUM(O435:T435)</f>
        <v>0</v>
      </c>
      <c r="O435" s="167">
        <f t="shared" si="78"/>
        <v>0</v>
      </c>
      <c r="P435" s="167">
        <f t="shared" si="78"/>
        <v>0</v>
      </c>
      <c r="Q435" s="167">
        <f t="shared" si="78"/>
        <v>0</v>
      </c>
      <c r="R435" s="206">
        <f t="shared" ref="R435:R468" si="85">J397</f>
        <v>0</v>
      </c>
      <c r="S435" s="144">
        <f t="shared" si="79"/>
        <v>0</v>
      </c>
      <c r="T435" s="144">
        <f t="shared" si="80"/>
        <v>0</v>
      </c>
      <c r="V435" s="219">
        <f t="shared" si="81"/>
        <v>0</v>
      </c>
    </row>
    <row r="436" spans="3:22" hidden="1" outlineLevel="2">
      <c r="C436" s="73" t="str">
        <v>SpareOfferD3</v>
      </c>
      <c r="F436" s="136">
        <f t="shared" si="82"/>
        <v>0</v>
      </c>
      <c r="G436" s="167">
        <f t="shared" si="76"/>
        <v>0</v>
      </c>
      <c r="H436" s="167">
        <f t="shared" si="76"/>
        <v>0</v>
      </c>
      <c r="I436" s="167">
        <f t="shared" si="76"/>
        <v>0</v>
      </c>
      <c r="J436" s="206">
        <f t="shared" si="83"/>
        <v>0</v>
      </c>
      <c r="K436" s="101">
        <f t="shared" si="77"/>
        <v>0</v>
      </c>
      <c r="L436" s="143"/>
      <c r="N436" s="136">
        <f t="shared" si="84"/>
        <v>0</v>
      </c>
      <c r="O436" s="167">
        <f t="shared" si="78"/>
        <v>0</v>
      </c>
      <c r="P436" s="167">
        <f t="shared" si="78"/>
        <v>0</v>
      </c>
      <c r="Q436" s="167">
        <f t="shared" si="78"/>
        <v>0</v>
      </c>
      <c r="R436" s="206">
        <f t="shared" si="85"/>
        <v>0</v>
      </c>
      <c r="S436" s="144">
        <f t="shared" si="79"/>
        <v>0</v>
      </c>
      <c r="T436" s="144">
        <f t="shared" si="80"/>
        <v>0</v>
      </c>
      <c r="V436" s="219">
        <f t="shared" si="81"/>
        <v>0</v>
      </c>
    </row>
    <row r="437" spans="3:22" hidden="1" outlineLevel="2">
      <c r="C437" s="73" t="str">
        <v>SpareOfferD4</v>
      </c>
      <c r="F437" s="136">
        <f t="shared" si="82"/>
        <v>0</v>
      </c>
      <c r="G437" s="167">
        <f t="shared" si="76"/>
        <v>0</v>
      </c>
      <c r="H437" s="167">
        <f t="shared" si="76"/>
        <v>0</v>
      </c>
      <c r="I437" s="167">
        <f t="shared" si="76"/>
        <v>0</v>
      </c>
      <c r="J437" s="206">
        <f t="shared" si="83"/>
        <v>0</v>
      </c>
      <c r="K437" s="101">
        <f t="shared" si="77"/>
        <v>0</v>
      </c>
      <c r="L437" s="143"/>
      <c r="N437" s="136">
        <f t="shared" si="84"/>
        <v>0</v>
      </c>
      <c r="O437" s="167">
        <f t="shared" si="78"/>
        <v>0</v>
      </c>
      <c r="P437" s="167">
        <f t="shared" si="78"/>
        <v>0</v>
      </c>
      <c r="Q437" s="167">
        <f t="shared" si="78"/>
        <v>0</v>
      </c>
      <c r="R437" s="206">
        <f t="shared" si="85"/>
        <v>0</v>
      </c>
      <c r="S437" s="144">
        <f t="shared" si="79"/>
        <v>0</v>
      </c>
      <c r="T437" s="144">
        <f t="shared" si="80"/>
        <v>0</v>
      </c>
      <c r="V437" s="219">
        <f t="shared" si="81"/>
        <v>0</v>
      </c>
    </row>
    <row r="438" spans="3:22" hidden="1" outlineLevel="2">
      <c r="C438" s="73" t="str">
        <v>SpareOfferD5</v>
      </c>
      <c r="F438" s="136">
        <f t="shared" si="82"/>
        <v>0</v>
      </c>
      <c r="G438" s="167">
        <f t="shared" si="76"/>
        <v>0</v>
      </c>
      <c r="H438" s="167">
        <f t="shared" si="76"/>
        <v>0</v>
      </c>
      <c r="I438" s="167">
        <f t="shared" si="76"/>
        <v>0</v>
      </c>
      <c r="J438" s="206">
        <f t="shared" si="83"/>
        <v>0</v>
      </c>
      <c r="K438" s="101">
        <f t="shared" si="77"/>
        <v>0</v>
      </c>
      <c r="L438" s="143"/>
      <c r="N438" s="136">
        <f t="shared" si="84"/>
        <v>0</v>
      </c>
      <c r="O438" s="167">
        <f t="shared" si="78"/>
        <v>0</v>
      </c>
      <c r="P438" s="167">
        <f t="shared" si="78"/>
        <v>0</v>
      </c>
      <c r="Q438" s="167">
        <f t="shared" si="78"/>
        <v>0</v>
      </c>
      <c r="R438" s="206">
        <f t="shared" si="85"/>
        <v>0</v>
      </c>
      <c r="S438" s="144">
        <f t="shared" si="79"/>
        <v>0</v>
      </c>
      <c r="T438" s="144">
        <f t="shared" si="80"/>
        <v>0</v>
      </c>
      <c r="V438" s="219">
        <f t="shared" si="81"/>
        <v>0</v>
      </c>
    </row>
    <row r="439" spans="3:22" hidden="1" outlineLevel="2">
      <c r="C439" s="73" t="str">
        <v>SpareOfferD6</v>
      </c>
      <c r="F439" s="136">
        <f t="shared" si="82"/>
        <v>0</v>
      </c>
      <c r="G439" s="167">
        <f t="shared" si="76"/>
        <v>0</v>
      </c>
      <c r="H439" s="167">
        <f t="shared" si="76"/>
        <v>0</v>
      </c>
      <c r="I439" s="167">
        <f t="shared" si="76"/>
        <v>0</v>
      </c>
      <c r="J439" s="206">
        <f t="shared" si="83"/>
        <v>0</v>
      </c>
      <c r="K439" s="101">
        <f t="shared" si="77"/>
        <v>0</v>
      </c>
      <c r="L439" s="143"/>
      <c r="N439" s="136">
        <f t="shared" si="84"/>
        <v>0</v>
      </c>
      <c r="O439" s="167">
        <f t="shared" si="78"/>
        <v>0</v>
      </c>
      <c r="P439" s="167">
        <f t="shared" si="78"/>
        <v>0</v>
      </c>
      <c r="Q439" s="167">
        <f t="shared" si="78"/>
        <v>0</v>
      </c>
      <c r="R439" s="206">
        <f t="shared" si="85"/>
        <v>0</v>
      </c>
      <c r="S439" s="144">
        <f t="shared" si="79"/>
        <v>0</v>
      </c>
      <c r="T439" s="144">
        <f t="shared" si="80"/>
        <v>0</v>
      </c>
      <c r="V439" s="219">
        <f t="shared" si="81"/>
        <v>0</v>
      </c>
    </row>
    <row r="440" spans="3:22" hidden="1" outlineLevel="2">
      <c r="C440" s="73" t="str">
        <v>SpareOfferD7</v>
      </c>
      <c r="F440" s="136">
        <f t="shared" si="82"/>
        <v>0</v>
      </c>
      <c r="G440" s="167">
        <f t="shared" si="76"/>
        <v>0</v>
      </c>
      <c r="H440" s="167">
        <f t="shared" si="76"/>
        <v>0</v>
      </c>
      <c r="I440" s="167">
        <f t="shared" si="76"/>
        <v>0</v>
      </c>
      <c r="J440" s="206">
        <f t="shared" si="83"/>
        <v>0</v>
      </c>
      <c r="K440" s="101">
        <f t="shared" si="77"/>
        <v>0</v>
      </c>
      <c r="L440" s="143"/>
      <c r="N440" s="136">
        <f t="shared" si="84"/>
        <v>0</v>
      </c>
      <c r="O440" s="167">
        <f t="shared" si="78"/>
        <v>0</v>
      </c>
      <c r="P440" s="167">
        <f t="shared" si="78"/>
        <v>0</v>
      </c>
      <c r="Q440" s="167">
        <f t="shared" si="78"/>
        <v>0</v>
      </c>
      <c r="R440" s="206">
        <f t="shared" si="85"/>
        <v>0</v>
      </c>
      <c r="S440" s="144">
        <f t="shared" si="79"/>
        <v>0</v>
      </c>
      <c r="T440" s="144">
        <f t="shared" si="80"/>
        <v>0</v>
      </c>
      <c r="V440" s="219">
        <f t="shared" si="81"/>
        <v>0</v>
      </c>
    </row>
    <row r="441" spans="3:22" hidden="1" outlineLevel="2">
      <c r="C441" s="73" t="str">
        <v>SpareOfferD8</v>
      </c>
      <c r="F441" s="136">
        <f t="shared" si="82"/>
        <v>0</v>
      </c>
      <c r="G441" s="167">
        <f t="shared" si="76"/>
        <v>0</v>
      </c>
      <c r="H441" s="167">
        <f t="shared" si="76"/>
        <v>0</v>
      </c>
      <c r="I441" s="167">
        <f t="shared" si="76"/>
        <v>0</v>
      </c>
      <c r="J441" s="206">
        <f t="shared" si="83"/>
        <v>0</v>
      </c>
      <c r="K441" s="101">
        <f t="shared" si="77"/>
        <v>0</v>
      </c>
      <c r="L441" s="143"/>
      <c r="N441" s="136">
        <f t="shared" si="84"/>
        <v>0</v>
      </c>
      <c r="O441" s="167">
        <f t="shared" si="78"/>
        <v>0</v>
      </c>
      <c r="P441" s="167">
        <f t="shared" si="78"/>
        <v>0</v>
      </c>
      <c r="Q441" s="167">
        <f t="shared" si="78"/>
        <v>0</v>
      </c>
      <c r="R441" s="206">
        <f t="shared" si="85"/>
        <v>0</v>
      </c>
      <c r="S441" s="144">
        <f t="shared" si="79"/>
        <v>0</v>
      </c>
      <c r="T441" s="144">
        <f t="shared" si="80"/>
        <v>0</v>
      </c>
      <c r="V441" s="219">
        <f t="shared" si="81"/>
        <v>0</v>
      </c>
    </row>
    <row r="442" spans="3:22" hidden="1" outlineLevel="2">
      <c r="C442" s="73" t="str">
        <v>SpareOfferD9</v>
      </c>
      <c r="F442" s="136">
        <f t="shared" si="82"/>
        <v>0</v>
      </c>
      <c r="G442" s="167">
        <f t="shared" si="76"/>
        <v>0</v>
      </c>
      <c r="H442" s="167">
        <f t="shared" si="76"/>
        <v>0</v>
      </c>
      <c r="I442" s="167">
        <f t="shared" si="76"/>
        <v>0</v>
      </c>
      <c r="J442" s="206">
        <f t="shared" si="83"/>
        <v>0</v>
      </c>
      <c r="K442" s="101">
        <f t="shared" si="77"/>
        <v>0</v>
      </c>
      <c r="L442" s="143"/>
      <c r="N442" s="136">
        <f t="shared" si="84"/>
        <v>0</v>
      </c>
      <c r="O442" s="167">
        <f t="shared" si="78"/>
        <v>0</v>
      </c>
      <c r="P442" s="167">
        <f t="shared" si="78"/>
        <v>0</v>
      </c>
      <c r="Q442" s="167">
        <f t="shared" si="78"/>
        <v>0</v>
      </c>
      <c r="R442" s="206">
        <f t="shared" si="85"/>
        <v>0</v>
      </c>
      <c r="S442" s="144">
        <f t="shared" si="79"/>
        <v>0</v>
      </c>
      <c r="T442" s="144">
        <f t="shared" si="80"/>
        <v>0</v>
      </c>
      <c r="V442" s="219">
        <f t="shared" si="81"/>
        <v>0</v>
      </c>
    </row>
    <row r="443" spans="3:22" hidden="1" outlineLevel="2">
      <c r="C443" s="73" t="str">
        <v>SpareOfferD10</v>
      </c>
      <c r="F443" s="136">
        <f t="shared" si="82"/>
        <v>0</v>
      </c>
      <c r="G443" s="167">
        <f t="shared" si="76"/>
        <v>0</v>
      </c>
      <c r="H443" s="167">
        <f t="shared" si="76"/>
        <v>0</v>
      </c>
      <c r="I443" s="167">
        <f t="shared" si="76"/>
        <v>0</v>
      </c>
      <c r="J443" s="206">
        <f t="shared" si="83"/>
        <v>0</v>
      </c>
      <c r="K443" s="101">
        <f t="shared" si="77"/>
        <v>0</v>
      </c>
      <c r="L443" s="143"/>
      <c r="N443" s="136">
        <f t="shared" si="84"/>
        <v>0</v>
      </c>
      <c r="O443" s="167">
        <f t="shared" si="78"/>
        <v>0</v>
      </c>
      <c r="P443" s="167">
        <f t="shared" si="78"/>
        <v>0</v>
      </c>
      <c r="Q443" s="167">
        <f t="shared" si="78"/>
        <v>0</v>
      </c>
      <c r="R443" s="206">
        <f t="shared" si="85"/>
        <v>0</v>
      </c>
      <c r="S443" s="144">
        <f t="shared" si="79"/>
        <v>0</v>
      </c>
      <c r="T443" s="144">
        <f t="shared" si="80"/>
        <v>0</v>
      </c>
      <c r="V443" s="219">
        <f t="shared" si="81"/>
        <v>0</v>
      </c>
    </row>
    <row r="444" spans="3:22" hidden="1" outlineLevel="2">
      <c r="C444" s="73" t="str">
        <v>SpareOfferD11</v>
      </c>
      <c r="F444" s="136">
        <f t="shared" si="82"/>
        <v>0</v>
      </c>
      <c r="G444" s="167">
        <f t="shared" si="76"/>
        <v>0</v>
      </c>
      <c r="H444" s="167">
        <f t="shared" si="76"/>
        <v>0</v>
      </c>
      <c r="I444" s="167">
        <f t="shared" si="76"/>
        <v>0</v>
      </c>
      <c r="J444" s="206">
        <f t="shared" si="83"/>
        <v>0</v>
      </c>
      <c r="K444" s="101">
        <f t="shared" si="77"/>
        <v>0</v>
      </c>
      <c r="L444" s="143"/>
      <c r="N444" s="136">
        <f t="shared" si="84"/>
        <v>0</v>
      </c>
      <c r="O444" s="167">
        <f t="shared" si="78"/>
        <v>0</v>
      </c>
      <c r="P444" s="167">
        <f t="shared" si="78"/>
        <v>0</v>
      </c>
      <c r="Q444" s="167">
        <f t="shared" si="78"/>
        <v>0</v>
      </c>
      <c r="R444" s="206">
        <f t="shared" si="85"/>
        <v>0</v>
      </c>
      <c r="S444" s="144">
        <f t="shared" si="79"/>
        <v>0</v>
      </c>
      <c r="T444" s="144">
        <f t="shared" si="80"/>
        <v>0</v>
      </c>
      <c r="V444" s="219">
        <f t="shared" si="81"/>
        <v>0</v>
      </c>
    </row>
    <row r="445" spans="3:22" hidden="1" outlineLevel="2">
      <c r="C445" s="73" t="str">
        <v>SpareOfferD12</v>
      </c>
      <c r="F445" s="136">
        <f t="shared" si="82"/>
        <v>0</v>
      </c>
      <c r="G445" s="167">
        <f t="shared" si="76"/>
        <v>0</v>
      </c>
      <c r="H445" s="167">
        <f t="shared" si="76"/>
        <v>0</v>
      </c>
      <c r="I445" s="167">
        <f t="shared" si="76"/>
        <v>0</v>
      </c>
      <c r="J445" s="206">
        <f t="shared" si="83"/>
        <v>0</v>
      </c>
      <c r="K445" s="101">
        <f t="shared" si="77"/>
        <v>0</v>
      </c>
      <c r="L445" s="143"/>
      <c r="N445" s="136">
        <f t="shared" si="84"/>
        <v>0</v>
      </c>
      <c r="O445" s="167">
        <f t="shared" si="78"/>
        <v>0</v>
      </c>
      <c r="P445" s="167">
        <f t="shared" si="78"/>
        <v>0</v>
      </c>
      <c r="Q445" s="167">
        <f t="shared" si="78"/>
        <v>0</v>
      </c>
      <c r="R445" s="206">
        <f t="shared" si="85"/>
        <v>0</v>
      </c>
      <c r="S445" s="144">
        <f t="shared" si="79"/>
        <v>0</v>
      </c>
      <c r="T445" s="144">
        <f t="shared" si="80"/>
        <v>0</v>
      </c>
      <c r="V445" s="219">
        <f t="shared" si="81"/>
        <v>0</v>
      </c>
    </row>
    <row r="446" spans="3:22" hidden="1" outlineLevel="2">
      <c r="C446" s="73" t="str">
        <v>SpareOfferD13</v>
      </c>
      <c r="F446" s="136">
        <f t="shared" si="82"/>
        <v>0</v>
      </c>
      <c r="G446" s="167">
        <f t="shared" si="76"/>
        <v>0</v>
      </c>
      <c r="H446" s="167">
        <f t="shared" si="76"/>
        <v>0</v>
      </c>
      <c r="I446" s="167">
        <f t="shared" si="76"/>
        <v>0</v>
      </c>
      <c r="J446" s="206">
        <f t="shared" si="83"/>
        <v>0</v>
      </c>
      <c r="K446" s="101">
        <f t="shared" si="77"/>
        <v>0</v>
      </c>
      <c r="L446" s="143"/>
      <c r="N446" s="136">
        <f t="shared" si="84"/>
        <v>0</v>
      </c>
      <c r="O446" s="167">
        <f t="shared" si="78"/>
        <v>0</v>
      </c>
      <c r="P446" s="167">
        <f t="shared" si="78"/>
        <v>0</v>
      </c>
      <c r="Q446" s="167">
        <f t="shared" si="78"/>
        <v>0</v>
      </c>
      <c r="R446" s="206">
        <f t="shared" si="85"/>
        <v>0</v>
      </c>
      <c r="S446" s="144">
        <f t="shared" si="79"/>
        <v>0</v>
      </c>
      <c r="T446" s="144">
        <f t="shared" si="80"/>
        <v>0</v>
      </c>
      <c r="V446" s="219">
        <f t="shared" si="81"/>
        <v>0</v>
      </c>
    </row>
    <row r="447" spans="3:22" hidden="1" outlineLevel="2">
      <c r="C447" s="73" t="str">
        <v>SpareOfferD14</v>
      </c>
      <c r="F447" s="136">
        <f t="shared" si="82"/>
        <v>0</v>
      </c>
      <c r="G447" s="167">
        <f t="shared" si="76"/>
        <v>0</v>
      </c>
      <c r="H447" s="167">
        <f t="shared" si="76"/>
        <v>0</v>
      </c>
      <c r="I447" s="167">
        <f t="shared" si="76"/>
        <v>0</v>
      </c>
      <c r="J447" s="206">
        <f t="shared" si="83"/>
        <v>0</v>
      </c>
      <c r="K447" s="101">
        <f t="shared" si="77"/>
        <v>0</v>
      </c>
      <c r="L447" s="143"/>
      <c r="N447" s="136">
        <f t="shared" si="84"/>
        <v>0</v>
      </c>
      <c r="O447" s="167">
        <f t="shared" si="78"/>
        <v>0</v>
      </c>
      <c r="P447" s="167">
        <f t="shared" si="78"/>
        <v>0</v>
      </c>
      <c r="Q447" s="167">
        <f t="shared" si="78"/>
        <v>0</v>
      </c>
      <c r="R447" s="206">
        <f t="shared" si="85"/>
        <v>0</v>
      </c>
      <c r="S447" s="144">
        <f t="shared" si="79"/>
        <v>0</v>
      </c>
      <c r="T447" s="144">
        <f t="shared" si="80"/>
        <v>0</v>
      </c>
      <c r="V447" s="219">
        <f t="shared" si="81"/>
        <v>0</v>
      </c>
    </row>
    <row r="448" spans="3:22" hidden="1" outlineLevel="2">
      <c r="C448" s="73" t="str">
        <v>SpareOfferD15</v>
      </c>
      <c r="F448" s="136">
        <f t="shared" si="82"/>
        <v>0</v>
      </c>
      <c r="G448" s="167">
        <f t="shared" si="76"/>
        <v>0</v>
      </c>
      <c r="H448" s="167">
        <f t="shared" si="76"/>
        <v>0</v>
      </c>
      <c r="I448" s="167">
        <f t="shared" si="76"/>
        <v>0</v>
      </c>
      <c r="J448" s="206">
        <f t="shared" si="83"/>
        <v>0</v>
      </c>
      <c r="K448" s="101">
        <f t="shared" si="77"/>
        <v>0</v>
      </c>
      <c r="L448" s="143"/>
      <c r="N448" s="136">
        <f t="shared" si="84"/>
        <v>0</v>
      </c>
      <c r="O448" s="167">
        <f t="shared" si="78"/>
        <v>0</v>
      </c>
      <c r="P448" s="167">
        <f t="shared" si="78"/>
        <v>0</v>
      </c>
      <c r="Q448" s="167">
        <f t="shared" si="78"/>
        <v>0</v>
      </c>
      <c r="R448" s="206">
        <f t="shared" si="85"/>
        <v>0</v>
      </c>
      <c r="S448" s="144">
        <f t="shared" si="79"/>
        <v>0</v>
      </c>
      <c r="T448" s="144">
        <f t="shared" si="80"/>
        <v>0</v>
      </c>
      <c r="V448" s="219">
        <f t="shared" si="81"/>
        <v>0</v>
      </c>
    </row>
    <row r="449" spans="3:22" hidden="1" outlineLevel="2">
      <c r="C449" s="73" t="str">
        <v>SpareOfferD16</v>
      </c>
      <c r="F449" s="136">
        <f t="shared" si="82"/>
        <v>0</v>
      </c>
      <c r="G449" s="167">
        <f t="shared" si="76"/>
        <v>0</v>
      </c>
      <c r="H449" s="167">
        <f t="shared" si="76"/>
        <v>0</v>
      </c>
      <c r="I449" s="167">
        <f t="shared" si="76"/>
        <v>0</v>
      </c>
      <c r="J449" s="206">
        <f t="shared" si="83"/>
        <v>0</v>
      </c>
      <c r="K449" s="101">
        <f t="shared" si="77"/>
        <v>0</v>
      </c>
      <c r="L449" s="143"/>
      <c r="N449" s="136">
        <f t="shared" si="84"/>
        <v>0</v>
      </c>
      <c r="O449" s="167">
        <f t="shared" si="78"/>
        <v>0</v>
      </c>
      <c r="P449" s="167">
        <f t="shared" si="78"/>
        <v>0</v>
      </c>
      <c r="Q449" s="167">
        <f t="shared" si="78"/>
        <v>0</v>
      </c>
      <c r="R449" s="206">
        <f t="shared" si="85"/>
        <v>0</v>
      </c>
      <c r="S449" s="144">
        <f t="shared" si="79"/>
        <v>0</v>
      </c>
      <c r="T449" s="144">
        <f t="shared" si="80"/>
        <v>0</v>
      </c>
      <c r="V449" s="219">
        <f t="shared" si="81"/>
        <v>0</v>
      </c>
    </row>
    <row r="450" spans="3:22" hidden="1" outlineLevel="2">
      <c r="C450" s="73" t="str">
        <v>SpareOfferD17</v>
      </c>
      <c r="F450" s="136">
        <f t="shared" si="82"/>
        <v>0</v>
      </c>
      <c r="G450" s="167">
        <f t="shared" si="76"/>
        <v>0</v>
      </c>
      <c r="H450" s="167">
        <f t="shared" si="76"/>
        <v>0</v>
      </c>
      <c r="I450" s="167">
        <f t="shared" si="76"/>
        <v>0</v>
      </c>
      <c r="J450" s="206">
        <f t="shared" si="83"/>
        <v>0</v>
      </c>
      <c r="K450" s="101">
        <f t="shared" si="77"/>
        <v>0</v>
      </c>
      <c r="L450" s="143"/>
      <c r="N450" s="136">
        <f t="shared" si="84"/>
        <v>0</v>
      </c>
      <c r="O450" s="167">
        <f t="shared" si="78"/>
        <v>0</v>
      </c>
      <c r="P450" s="167">
        <f t="shared" si="78"/>
        <v>0</v>
      </c>
      <c r="Q450" s="167">
        <f t="shared" si="78"/>
        <v>0</v>
      </c>
      <c r="R450" s="206">
        <f t="shared" si="85"/>
        <v>0</v>
      </c>
      <c r="S450" s="144">
        <f t="shared" si="79"/>
        <v>0</v>
      </c>
      <c r="T450" s="144">
        <f t="shared" si="80"/>
        <v>0</v>
      </c>
      <c r="V450" s="219">
        <f t="shared" si="81"/>
        <v>0</v>
      </c>
    </row>
    <row r="451" spans="3:22" hidden="1" outlineLevel="2">
      <c r="C451" s="73" t="str">
        <v>SpareOfferD18</v>
      </c>
      <c r="F451" s="136">
        <f t="shared" si="82"/>
        <v>0</v>
      </c>
      <c r="G451" s="167">
        <f t="shared" si="76"/>
        <v>0</v>
      </c>
      <c r="H451" s="167">
        <f t="shared" si="76"/>
        <v>0</v>
      </c>
      <c r="I451" s="167">
        <f t="shared" si="76"/>
        <v>0</v>
      </c>
      <c r="J451" s="206">
        <f t="shared" si="83"/>
        <v>0</v>
      </c>
      <c r="K451" s="101">
        <f t="shared" si="77"/>
        <v>0</v>
      </c>
      <c r="L451" s="143"/>
      <c r="N451" s="136">
        <f t="shared" si="84"/>
        <v>0</v>
      </c>
      <c r="O451" s="167">
        <f t="shared" si="78"/>
        <v>0</v>
      </c>
      <c r="P451" s="167">
        <f t="shared" si="78"/>
        <v>0</v>
      </c>
      <c r="Q451" s="167">
        <f t="shared" si="78"/>
        <v>0</v>
      </c>
      <c r="R451" s="206">
        <f t="shared" si="85"/>
        <v>0</v>
      </c>
      <c r="S451" s="144">
        <f t="shared" si="79"/>
        <v>0</v>
      </c>
      <c r="T451" s="144">
        <f t="shared" si="80"/>
        <v>0</v>
      </c>
      <c r="V451" s="219">
        <f t="shared" si="81"/>
        <v>0</v>
      </c>
    </row>
    <row r="452" spans="3:22" hidden="1" outlineLevel="2">
      <c r="C452" s="73" t="str">
        <v>SpareOfferD19</v>
      </c>
      <c r="F452" s="136">
        <f t="shared" si="82"/>
        <v>0</v>
      </c>
      <c r="G452" s="167">
        <f t="shared" si="76"/>
        <v>0</v>
      </c>
      <c r="H452" s="167">
        <f t="shared" si="76"/>
        <v>0</v>
      </c>
      <c r="I452" s="167">
        <f t="shared" si="76"/>
        <v>0</v>
      </c>
      <c r="J452" s="206">
        <f t="shared" si="83"/>
        <v>0</v>
      </c>
      <c r="K452" s="101">
        <f t="shared" si="77"/>
        <v>0</v>
      </c>
      <c r="L452" s="143"/>
      <c r="N452" s="136">
        <f t="shared" si="84"/>
        <v>0</v>
      </c>
      <c r="O452" s="167">
        <f t="shared" si="78"/>
        <v>0</v>
      </c>
      <c r="P452" s="167">
        <f t="shared" si="78"/>
        <v>0</v>
      </c>
      <c r="Q452" s="167">
        <f t="shared" si="78"/>
        <v>0</v>
      </c>
      <c r="R452" s="206">
        <f t="shared" si="85"/>
        <v>0</v>
      </c>
      <c r="S452" s="144">
        <f t="shared" si="79"/>
        <v>0</v>
      </c>
      <c r="T452" s="144">
        <f t="shared" si="80"/>
        <v>0</v>
      </c>
      <c r="V452" s="219">
        <f t="shared" si="81"/>
        <v>0</v>
      </c>
    </row>
    <row r="453" spans="3:22" hidden="1" outlineLevel="2">
      <c r="C453" s="73" t="str">
        <v>SpareOfferD20</v>
      </c>
      <c r="F453" s="136">
        <f t="shared" si="82"/>
        <v>0</v>
      </c>
      <c r="G453" s="167">
        <f t="shared" si="76"/>
        <v>0</v>
      </c>
      <c r="H453" s="167">
        <f t="shared" si="76"/>
        <v>0</v>
      </c>
      <c r="I453" s="167">
        <f t="shared" si="76"/>
        <v>0</v>
      </c>
      <c r="J453" s="206">
        <f t="shared" si="83"/>
        <v>0</v>
      </c>
      <c r="K453" s="101">
        <f t="shared" si="77"/>
        <v>0</v>
      </c>
      <c r="L453" s="143"/>
      <c r="N453" s="136">
        <f t="shared" si="84"/>
        <v>0</v>
      </c>
      <c r="O453" s="167">
        <f t="shared" si="78"/>
        <v>0</v>
      </c>
      <c r="P453" s="167">
        <f t="shared" si="78"/>
        <v>0</v>
      </c>
      <c r="Q453" s="167">
        <f t="shared" si="78"/>
        <v>0</v>
      </c>
      <c r="R453" s="206">
        <f t="shared" si="85"/>
        <v>0</v>
      </c>
      <c r="S453" s="144">
        <f t="shared" si="79"/>
        <v>0</v>
      </c>
      <c r="T453" s="144">
        <f t="shared" si="80"/>
        <v>0</v>
      </c>
      <c r="V453" s="219">
        <f t="shared" si="81"/>
        <v>0</v>
      </c>
    </row>
    <row r="454" spans="3:22" hidden="1" outlineLevel="2">
      <c r="C454" s="73" t="str">
        <v>SpareOfferD21</v>
      </c>
      <c r="F454" s="136">
        <f t="shared" si="82"/>
        <v>0</v>
      </c>
      <c r="G454" s="167">
        <f t="shared" ref="G454:I468" si="86">$G416*G378</f>
        <v>0</v>
      </c>
      <c r="H454" s="167">
        <f t="shared" si="86"/>
        <v>0</v>
      </c>
      <c r="I454" s="167">
        <f t="shared" si="86"/>
        <v>0</v>
      </c>
      <c r="J454" s="206">
        <f t="shared" si="83"/>
        <v>0</v>
      </c>
      <c r="K454" s="101">
        <f t="shared" si="77"/>
        <v>0</v>
      </c>
      <c r="L454" s="143"/>
      <c r="N454" s="136">
        <f t="shared" si="84"/>
        <v>0</v>
      </c>
      <c r="O454" s="167">
        <f t="shared" ref="O454:Q468" si="87">$I416*O378</f>
        <v>0</v>
      </c>
      <c r="P454" s="167">
        <f t="shared" si="87"/>
        <v>0</v>
      </c>
      <c r="Q454" s="167">
        <f t="shared" si="87"/>
        <v>0</v>
      </c>
      <c r="R454" s="206">
        <f t="shared" si="85"/>
        <v>0</v>
      </c>
      <c r="S454" s="144">
        <f t="shared" si="79"/>
        <v>0</v>
      </c>
      <c r="T454" s="144">
        <f t="shared" si="80"/>
        <v>0</v>
      </c>
      <c r="V454" s="219">
        <f t="shared" si="81"/>
        <v>0</v>
      </c>
    </row>
    <row r="455" spans="3:22" hidden="1" outlineLevel="2">
      <c r="C455" s="73" t="str">
        <v>SpareOfferD22</v>
      </c>
      <c r="F455" s="136">
        <f t="shared" si="82"/>
        <v>0</v>
      </c>
      <c r="G455" s="167">
        <f t="shared" si="86"/>
        <v>0</v>
      </c>
      <c r="H455" s="167">
        <f t="shared" si="86"/>
        <v>0</v>
      </c>
      <c r="I455" s="167">
        <f t="shared" si="86"/>
        <v>0</v>
      </c>
      <c r="J455" s="206">
        <f t="shared" si="83"/>
        <v>0</v>
      </c>
      <c r="K455" s="101">
        <f t="shared" si="77"/>
        <v>0</v>
      </c>
      <c r="L455" s="143"/>
      <c r="N455" s="136">
        <f t="shared" si="84"/>
        <v>0</v>
      </c>
      <c r="O455" s="167">
        <f t="shared" si="87"/>
        <v>0</v>
      </c>
      <c r="P455" s="167">
        <f t="shared" si="87"/>
        <v>0</v>
      </c>
      <c r="Q455" s="167">
        <f t="shared" si="87"/>
        <v>0</v>
      </c>
      <c r="R455" s="206">
        <f t="shared" si="85"/>
        <v>0</v>
      </c>
      <c r="S455" s="144">
        <f t="shared" si="79"/>
        <v>0</v>
      </c>
      <c r="T455" s="144">
        <f t="shared" si="80"/>
        <v>0</v>
      </c>
      <c r="V455" s="219">
        <f t="shared" si="81"/>
        <v>0</v>
      </c>
    </row>
    <row r="456" spans="3:22" hidden="1" outlineLevel="2">
      <c r="C456" s="73" t="str">
        <v>SpareOfferD23</v>
      </c>
      <c r="F456" s="136">
        <f t="shared" si="82"/>
        <v>0</v>
      </c>
      <c r="G456" s="167">
        <f t="shared" si="86"/>
        <v>0</v>
      </c>
      <c r="H456" s="167">
        <f t="shared" si="86"/>
        <v>0</v>
      </c>
      <c r="I456" s="167">
        <f t="shared" si="86"/>
        <v>0</v>
      </c>
      <c r="J456" s="206">
        <f t="shared" si="83"/>
        <v>0</v>
      </c>
      <c r="K456" s="101">
        <f t="shared" si="77"/>
        <v>0</v>
      </c>
      <c r="L456" s="143"/>
      <c r="N456" s="136">
        <f t="shared" si="84"/>
        <v>0</v>
      </c>
      <c r="O456" s="167">
        <f t="shared" si="87"/>
        <v>0</v>
      </c>
      <c r="P456" s="167">
        <f t="shared" si="87"/>
        <v>0</v>
      </c>
      <c r="Q456" s="167">
        <f t="shared" si="87"/>
        <v>0</v>
      </c>
      <c r="R456" s="206">
        <f t="shared" si="85"/>
        <v>0</v>
      </c>
      <c r="S456" s="144">
        <f t="shared" si="79"/>
        <v>0</v>
      </c>
      <c r="T456" s="144">
        <f t="shared" si="80"/>
        <v>0</v>
      </c>
      <c r="V456" s="219">
        <f t="shared" si="81"/>
        <v>0</v>
      </c>
    </row>
    <row r="457" spans="3:22" hidden="1" outlineLevel="2">
      <c r="C457" s="73" t="str">
        <v>SpareOfferD24</v>
      </c>
      <c r="F457" s="136">
        <f t="shared" si="82"/>
        <v>0</v>
      </c>
      <c r="G457" s="167">
        <f t="shared" si="86"/>
        <v>0</v>
      </c>
      <c r="H457" s="167">
        <f t="shared" si="86"/>
        <v>0</v>
      </c>
      <c r="I457" s="167">
        <f t="shared" si="86"/>
        <v>0</v>
      </c>
      <c r="J457" s="206">
        <f t="shared" si="83"/>
        <v>0</v>
      </c>
      <c r="K457" s="101">
        <f t="shared" si="77"/>
        <v>0</v>
      </c>
      <c r="L457" s="143"/>
      <c r="N457" s="136">
        <f t="shared" si="84"/>
        <v>0</v>
      </c>
      <c r="O457" s="167">
        <f t="shared" si="87"/>
        <v>0</v>
      </c>
      <c r="P457" s="167">
        <f t="shared" si="87"/>
        <v>0</v>
      </c>
      <c r="Q457" s="167">
        <f t="shared" si="87"/>
        <v>0</v>
      </c>
      <c r="R457" s="206">
        <f t="shared" si="85"/>
        <v>0</v>
      </c>
      <c r="S457" s="144">
        <f t="shared" si="79"/>
        <v>0</v>
      </c>
      <c r="T457" s="144">
        <f t="shared" si="80"/>
        <v>0</v>
      </c>
      <c r="V457" s="219">
        <f t="shared" si="81"/>
        <v>0</v>
      </c>
    </row>
    <row r="458" spans="3:22" hidden="1" outlineLevel="2">
      <c r="C458" s="73" t="str">
        <v>SpareOfferD25</v>
      </c>
      <c r="F458" s="136">
        <f t="shared" si="82"/>
        <v>0</v>
      </c>
      <c r="G458" s="167">
        <f t="shared" si="86"/>
        <v>0</v>
      </c>
      <c r="H458" s="167">
        <f t="shared" si="86"/>
        <v>0</v>
      </c>
      <c r="I458" s="167">
        <f t="shared" si="86"/>
        <v>0</v>
      </c>
      <c r="J458" s="206">
        <f t="shared" si="83"/>
        <v>0</v>
      </c>
      <c r="K458" s="101">
        <f t="shared" si="77"/>
        <v>0</v>
      </c>
      <c r="L458" s="143"/>
      <c r="N458" s="136">
        <f t="shared" si="84"/>
        <v>0</v>
      </c>
      <c r="O458" s="167">
        <f t="shared" si="87"/>
        <v>0</v>
      </c>
      <c r="P458" s="167">
        <f t="shared" si="87"/>
        <v>0</v>
      </c>
      <c r="Q458" s="167">
        <f t="shared" si="87"/>
        <v>0</v>
      </c>
      <c r="R458" s="206">
        <f t="shared" si="85"/>
        <v>0</v>
      </c>
      <c r="S458" s="144">
        <f t="shared" si="79"/>
        <v>0</v>
      </c>
      <c r="T458" s="144">
        <f t="shared" si="80"/>
        <v>0</v>
      </c>
      <c r="V458" s="219">
        <f t="shared" si="81"/>
        <v>0</v>
      </c>
    </row>
    <row r="459" spans="3:22" hidden="1" outlineLevel="2">
      <c r="C459" s="73" t="str">
        <v>SpareOfferD26</v>
      </c>
      <c r="F459" s="136">
        <f t="shared" si="82"/>
        <v>0</v>
      </c>
      <c r="G459" s="167">
        <f t="shared" si="86"/>
        <v>0</v>
      </c>
      <c r="H459" s="167">
        <f t="shared" si="86"/>
        <v>0</v>
      </c>
      <c r="I459" s="167">
        <f t="shared" si="86"/>
        <v>0</v>
      </c>
      <c r="J459" s="206">
        <f t="shared" si="83"/>
        <v>0</v>
      </c>
      <c r="K459" s="101">
        <f t="shared" si="77"/>
        <v>0</v>
      </c>
      <c r="L459" s="143"/>
      <c r="N459" s="136">
        <f t="shared" si="84"/>
        <v>0</v>
      </c>
      <c r="O459" s="167">
        <f t="shared" si="87"/>
        <v>0</v>
      </c>
      <c r="P459" s="167">
        <f t="shared" si="87"/>
        <v>0</v>
      </c>
      <c r="Q459" s="167">
        <f t="shared" si="87"/>
        <v>0</v>
      </c>
      <c r="R459" s="206">
        <f t="shared" si="85"/>
        <v>0</v>
      </c>
      <c r="S459" s="144">
        <f t="shared" si="79"/>
        <v>0</v>
      </c>
      <c r="T459" s="144">
        <f t="shared" si="80"/>
        <v>0</v>
      </c>
      <c r="V459" s="219">
        <f t="shared" si="81"/>
        <v>0</v>
      </c>
    </row>
    <row r="460" spans="3:22" hidden="1" outlineLevel="2">
      <c r="C460" s="73" t="str">
        <v>SpareOfferD27</v>
      </c>
      <c r="F460" s="136">
        <f t="shared" si="82"/>
        <v>0</v>
      </c>
      <c r="G460" s="167">
        <f t="shared" si="86"/>
        <v>0</v>
      </c>
      <c r="H460" s="167">
        <f t="shared" si="86"/>
        <v>0</v>
      </c>
      <c r="I460" s="167">
        <f t="shared" si="86"/>
        <v>0</v>
      </c>
      <c r="J460" s="206">
        <f t="shared" si="83"/>
        <v>0</v>
      </c>
      <c r="K460" s="101">
        <f t="shared" si="77"/>
        <v>0</v>
      </c>
      <c r="L460" s="143"/>
      <c r="N460" s="136">
        <f t="shared" si="84"/>
        <v>0</v>
      </c>
      <c r="O460" s="167">
        <f t="shared" si="87"/>
        <v>0</v>
      </c>
      <c r="P460" s="167">
        <f t="shared" si="87"/>
        <v>0</v>
      </c>
      <c r="Q460" s="167">
        <f t="shared" si="87"/>
        <v>0</v>
      </c>
      <c r="R460" s="206">
        <f t="shared" si="85"/>
        <v>0</v>
      </c>
      <c r="S460" s="144">
        <f t="shared" si="79"/>
        <v>0</v>
      </c>
      <c r="T460" s="144">
        <f t="shared" si="80"/>
        <v>0</v>
      </c>
      <c r="V460" s="219">
        <f t="shared" si="81"/>
        <v>0</v>
      </c>
    </row>
    <row r="461" spans="3:22" hidden="1" outlineLevel="2">
      <c r="C461" s="73" t="str">
        <v>SpareOfferD28</v>
      </c>
      <c r="F461" s="136">
        <f t="shared" si="82"/>
        <v>0</v>
      </c>
      <c r="G461" s="167">
        <f t="shared" si="86"/>
        <v>0</v>
      </c>
      <c r="H461" s="167">
        <f t="shared" si="86"/>
        <v>0</v>
      </c>
      <c r="I461" s="167">
        <f t="shared" si="86"/>
        <v>0</v>
      </c>
      <c r="J461" s="206">
        <f t="shared" si="83"/>
        <v>0</v>
      </c>
      <c r="K461" s="101">
        <f t="shared" si="77"/>
        <v>0</v>
      </c>
      <c r="L461" s="143"/>
      <c r="N461" s="136">
        <f t="shared" si="84"/>
        <v>0</v>
      </c>
      <c r="O461" s="167">
        <f t="shared" si="87"/>
        <v>0</v>
      </c>
      <c r="P461" s="167">
        <f t="shared" si="87"/>
        <v>0</v>
      </c>
      <c r="Q461" s="167">
        <f t="shared" si="87"/>
        <v>0</v>
      </c>
      <c r="R461" s="206">
        <f t="shared" si="85"/>
        <v>0</v>
      </c>
      <c r="S461" s="144">
        <f t="shared" si="79"/>
        <v>0</v>
      </c>
      <c r="T461" s="144">
        <f t="shared" si="80"/>
        <v>0</v>
      </c>
      <c r="V461" s="219">
        <f t="shared" si="81"/>
        <v>0</v>
      </c>
    </row>
    <row r="462" spans="3:22" hidden="1" outlineLevel="2">
      <c r="C462" s="73" t="str">
        <v>SpareOfferD29</v>
      </c>
      <c r="F462" s="136">
        <f t="shared" si="82"/>
        <v>0</v>
      </c>
      <c r="G462" s="167">
        <f t="shared" si="86"/>
        <v>0</v>
      </c>
      <c r="H462" s="167">
        <f t="shared" si="86"/>
        <v>0</v>
      </c>
      <c r="I462" s="167">
        <f t="shared" si="86"/>
        <v>0</v>
      </c>
      <c r="J462" s="206">
        <f t="shared" si="83"/>
        <v>0</v>
      </c>
      <c r="K462" s="101">
        <f t="shared" si="77"/>
        <v>0</v>
      </c>
      <c r="L462" s="143"/>
      <c r="N462" s="136">
        <f t="shared" si="84"/>
        <v>0</v>
      </c>
      <c r="O462" s="167">
        <f t="shared" si="87"/>
        <v>0</v>
      </c>
      <c r="P462" s="167">
        <f t="shared" si="87"/>
        <v>0</v>
      </c>
      <c r="Q462" s="167">
        <f t="shared" si="87"/>
        <v>0</v>
      </c>
      <c r="R462" s="206">
        <f t="shared" si="85"/>
        <v>0</v>
      </c>
      <c r="S462" s="144">
        <f t="shared" si="79"/>
        <v>0</v>
      </c>
      <c r="T462" s="144">
        <f t="shared" si="80"/>
        <v>0</v>
      </c>
      <c r="V462" s="219">
        <f t="shared" si="81"/>
        <v>0</v>
      </c>
    </row>
    <row r="463" spans="3:22" hidden="1" outlineLevel="2">
      <c r="C463" s="73" t="str">
        <v>SpareOfferD30</v>
      </c>
      <c r="F463" s="136">
        <f t="shared" si="82"/>
        <v>0</v>
      </c>
      <c r="G463" s="167">
        <f t="shared" si="86"/>
        <v>0</v>
      </c>
      <c r="H463" s="167">
        <f t="shared" si="86"/>
        <v>0</v>
      </c>
      <c r="I463" s="167">
        <f t="shared" si="86"/>
        <v>0</v>
      </c>
      <c r="J463" s="206">
        <f t="shared" si="83"/>
        <v>0</v>
      </c>
      <c r="K463" s="101">
        <f t="shared" si="77"/>
        <v>0</v>
      </c>
      <c r="L463" s="143"/>
      <c r="N463" s="136">
        <f t="shared" si="84"/>
        <v>0</v>
      </c>
      <c r="O463" s="167">
        <f t="shared" si="87"/>
        <v>0</v>
      </c>
      <c r="P463" s="167">
        <f t="shared" si="87"/>
        <v>0</v>
      </c>
      <c r="Q463" s="167">
        <f t="shared" si="87"/>
        <v>0</v>
      </c>
      <c r="R463" s="206">
        <f t="shared" si="85"/>
        <v>0</v>
      </c>
      <c r="S463" s="144">
        <f t="shared" si="79"/>
        <v>0</v>
      </c>
      <c r="T463" s="144">
        <f t="shared" si="80"/>
        <v>0</v>
      </c>
      <c r="V463" s="219">
        <f t="shared" si="81"/>
        <v>0</v>
      </c>
    </row>
    <row r="464" spans="3:22" hidden="1" outlineLevel="2">
      <c r="C464" s="73" t="str">
        <v>SpareOfferD31</v>
      </c>
      <c r="F464" s="136">
        <f t="shared" si="82"/>
        <v>0</v>
      </c>
      <c r="G464" s="167">
        <f t="shared" si="86"/>
        <v>0</v>
      </c>
      <c r="H464" s="167">
        <f t="shared" si="86"/>
        <v>0</v>
      </c>
      <c r="I464" s="167">
        <f t="shared" si="86"/>
        <v>0</v>
      </c>
      <c r="J464" s="206">
        <f t="shared" si="83"/>
        <v>0</v>
      </c>
      <c r="K464" s="101">
        <f t="shared" si="77"/>
        <v>0</v>
      </c>
      <c r="L464" s="143"/>
      <c r="N464" s="136">
        <f t="shared" si="84"/>
        <v>0</v>
      </c>
      <c r="O464" s="167">
        <f t="shared" si="87"/>
        <v>0</v>
      </c>
      <c r="P464" s="167">
        <f t="shared" si="87"/>
        <v>0</v>
      </c>
      <c r="Q464" s="167">
        <f t="shared" si="87"/>
        <v>0</v>
      </c>
      <c r="R464" s="206">
        <f t="shared" si="85"/>
        <v>0</v>
      </c>
      <c r="S464" s="144">
        <f t="shared" si="79"/>
        <v>0</v>
      </c>
      <c r="T464" s="144">
        <f t="shared" si="80"/>
        <v>0</v>
      </c>
      <c r="V464" s="219">
        <f t="shared" si="81"/>
        <v>0</v>
      </c>
    </row>
    <row r="465" spans="3:22" hidden="1" outlineLevel="2">
      <c r="C465" s="73" t="str">
        <v>SpareOfferD32</v>
      </c>
      <c r="F465" s="136">
        <f t="shared" si="82"/>
        <v>0</v>
      </c>
      <c r="G465" s="167">
        <f t="shared" si="86"/>
        <v>0</v>
      </c>
      <c r="H465" s="167">
        <f t="shared" si="86"/>
        <v>0</v>
      </c>
      <c r="I465" s="167">
        <f t="shared" si="86"/>
        <v>0</v>
      </c>
      <c r="J465" s="206">
        <f t="shared" si="83"/>
        <v>0</v>
      </c>
      <c r="K465" s="101">
        <f t="shared" si="77"/>
        <v>0</v>
      </c>
      <c r="L465" s="143"/>
      <c r="N465" s="136">
        <f t="shared" si="84"/>
        <v>0</v>
      </c>
      <c r="O465" s="167">
        <f t="shared" si="87"/>
        <v>0</v>
      </c>
      <c r="P465" s="167">
        <f t="shared" si="87"/>
        <v>0</v>
      </c>
      <c r="Q465" s="167">
        <f t="shared" si="87"/>
        <v>0</v>
      </c>
      <c r="R465" s="206">
        <f t="shared" si="85"/>
        <v>0</v>
      </c>
      <c r="S465" s="144">
        <f t="shared" si="79"/>
        <v>0</v>
      </c>
      <c r="T465" s="144">
        <f t="shared" si="80"/>
        <v>0</v>
      </c>
      <c r="V465" s="219">
        <f t="shared" si="81"/>
        <v>0</v>
      </c>
    </row>
    <row r="466" spans="3:22" hidden="1" outlineLevel="2">
      <c r="C466" s="73" t="str">
        <v>SpareOfferD33</v>
      </c>
      <c r="F466" s="136">
        <f t="shared" si="82"/>
        <v>0</v>
      </c>
      <c r="G466" s="167">
        <f t="shared" si="86"/>
        <v>0</v>
      </c>
      <c r="H466" s="167">
        <f t="shared" si="86"/>
        <v>0</v>
      </c>
      <c r="I466" s="167">
        <f t="shared" si="86"/>
        <v>0</v>
      </c>
      <c r="J466" s="206">
        <f t="shared" si="83"/>
        <v>0</v>
      </c>
      <c r="K466" s="101">
        <f t="shared" si="77"/>
        <v>0</v>
      </c>
      <c r="L466" s="143"/>
      <c r="N466" s="136">
        <f t="shared" si="84"/>
        <v>0</v>
      </c>
      <c r="O466" s="167">
        <f t="shared" si="87"/>
        <v>0</v>
      </c>
      <c r="P466" s="167">
        <f t="shared" si="87"/>
        <v>0</v>
      </c>
      <c r="Q466" s="167">
        <f t="shared" si="87"/>
        <v>0</v>
      </c>
      <c r="R466" s="206">
        <f t="shared" si="85"/>
        <v>0</v>
      </c>
      <c r="S466" s="144">
        <f t="shared" si="79"/>
        <v>0</v>
      </c>
      <c r="T466" s="144">
        <f t="shared" si="80"/>
        <v>0</v>
      </c>
      <c r="V466" s="219">
        <f t="shared" si="81"/>
        <v>0</v>
      </c>
    </row>
    <row r="467" spans="3:22" hidden="1" outlineLevel="2">
      <c r="C467" s="73" t="str">
        <v>SpareOfferD34</v>
      </c>
      <c r="F467" s="136">
        <f t="shared" si="82"/>
        <v>0</v>
      </c>
      <c r="G467" s="167">
        <f t="shared" si="86"/>
        <v>0</v>
      </c>
      <c r="H467" s="167">
        <f t="shared" si="86"/>
        <v>0</v>
      </c>
      <c r="I467" s="167">
        <f t="shared" si="86"/>
        <v>0</v>
      </c>
      <c r="J467" s="206">
        <f t="shared" si="83"/>
        <v>0</v>
      </c>
      <c r="K467" s="101">
        <f t="shared" si="77"/>
        <v>0</v>
      </c>
      <c r="L467" s="143"/>
      <c r="N467" s="136">
        <f t="shared" si="84"/>
        <v>0</v>
      </c>
      <c r="O467" s="167">
        <f t="shared" si="87"/>
        <v>0</v>
      </c>
      <c r="P467" s="167">
        <f t="shared" si="87"/>
        <v>0</v>
      </c>
      <c r="Q467" s="167">
        <f t="shared" si="87"/>
        <v>0</v>
      </c>
      <c r="R467" s="206">
        <f t="shared" si="85"/>
        <v>0</v>
      </c>
      <c r="S467" s="144">
        <f t="shared" si="79"/>
        <v>0</v>
      </c>
      <c r="T467" s="144">
        <f t="shared" si="80"/>
        <v>0</v>
      </c>
      <c r="V467" s="219">
        <f t="shared" si="81"/>
        <v>0</v>
      </c>
    </row>
    <row r="468" spans="3:22" outlineLevel="1" collapsed="1">
      <c r="C468" s="73" t="str">
        <v>-</v>
      </c>
      <c r="F468" s="136">
        <f t="shared" si="82"/>
        <v>0</v>
      </c>
      <c r="G468" s="167">
        <f t="shared" si="86"/>
        <v>0</v>
      </c>
      <c r="H468" s="167">
        <f t="shared" si="86"/>
        <v>0</v>
      </c>
      <c r="I468" s="167">
        <f t="shared" si="86"/>
        <v>0</v>
      </c>
      <c r="J468" s="206">
        <f t="shared" si="83"/>
        <v>0</v>
      </c>
      <c r="K468" s="101">
        <f t="shared" si="77"/>
        <v>0</v>
      </c>
      <c r="L468" s="143"/>
      <c r="N468" s="136">
        <f t="shared" si="84"/>
        <v>0</v>
      </c>
      <c r="O468" s="167">
        <f t="shared" si="87"/>
        <v>0</v>
      </c>
      <c r="P468" s="167">
        <f t="shared" si="87"/>
        <v>0</v>
      </c>
      <c r="Q468" s="167">
        <f t="shared" si="87"/>
        <v>0</v>
      </c>
      <c r="R468" s="206">
        <f t="shared" si="85"/>
        <v>0</v>
      </c>
      <c r="S468" s="144">
        <f t="shared" si="79"/>
        <v>0</v>
      </c>
      <c r="T468" s="144">
        <f t="shared" si="80"/>
        <v>0</v>
      </c>
      <c r="V468" s="219">
        <f t="shared" si="81"/>
        <v>0</v>
      </c>
    </row>
    <row r="469" spans="3:22" ht="12" outlineLevel="1">
      <c r="F469" s="43" t="s">
        <v>493</v>
      </c>
      <c r="G469" s="43" t="s">
        <v>519</v>
      </c>
      <c r="M469" s="43" t="s">
        <v>508</v>
      </c>
      <c r="N469" s="43" t="s">
        <v>489</v>
      </c>
      <c r="O469" s="43" t="s">
        <v>523</v>
      </c>
      <c r="U469" s="43" t="s">
        <v>512</v>
      </c>
      <c r="V469" s="43" t="s">
        <v>482</v>
      </c>
    </row>
    <row r="470" spans="3:22" outlineLevel="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pageSetUpPr autoPageBreaks="0"/>
  </sheetPr>
  <dimension ref="A1:U831"/>
  <sheetViews>
    <sheetView showGridLines="0" defaultGridColor="0" colorId="22" zoomScaleNormal="100" workbookViewId="0">
      <pane xSplit="4" ySplit="3" topLeftCell="E4" activePane="bottomRight" state="frozen"/>
      <selection pane="topRight"/>
      <selection pane="bottomLeft"/>
      <selection pane="bottomRight"/>
    </sheetView>
  </sheetViews>
  <sheetFormatPr baseColWidth="10" defaultColWidth="12.69921875" defaultRowHeight="11.5" outlineLevelRow="2"/>
  <cols>
    <col min="1" max="1" width="6.69921875" customWidth="1"/>
    <col min="2" max="2" width="6.19921875" customWidth="1"/>
    <col min="3" max="3" width="16.69921875" customWidth="1"/>
    <col min="4" max="4" width="30" bestFit="1" customWidth="1"/>
    <col min="5" max="5" width="9.19921875" customWidth="1"/>
    <col min="6" max="6" width="15.3984375" customWidth="1"/>
    <col min="8" max="8" width="15.09765625" customWidth="1"/>
    <col min="9" max="9" width="16.3984375" bestFit="1" customWidth="1"/>
    <col min="10" max="10" width="14.59765625" customWidth="1"/>
    <col min="22" max="22" width="18.59765625" customWidth="1"/>
  </cols>
  <sheetData>
    <row r="1" spans="1:15" s="84" customFormat="1" ht="33.75" customHeight="1">
      <c r="D1" s="84" t="s">
        <v>191</v>
      </c>
      <c r="N1" s="107"/>
      <c r="O1"/>
    </row>
    <row r="2" spans="1:15">
      <c r="N2" s="107"/>
    </row>
    <row r="3" spans="1:15">
      <c r="D3" s="91" t="s">
        <v>167</v>
      </c>
    </row>
    <row r="4" spans="1:15" ht="15.5">
      <c r="A4" s="36" t="s">
        <v>7</v>
      </c>
    </row>
    <row r="5" spans="1:15">
      <c r="F5" s="173" t="s">
        <v>394</v>
      </c>
      <c r="I5" s="35" t="s">
        <v>393</v>
      </c>
    </row>
    <row r="6" spans="1:15" ht="12">
      <c r="C6" s="91" t="s">
        <v>333</v>
      </c>
      <c r="D6" t="s">
        <v>218</v>
      </c>
      <c r="F6" s="154">
        <f>SUMPRODUCT(F7:F10, segment.split)</f>
        <v>0</v>
      </c>
      <c r="G6" s="43" t="s">
        <v>334</v>
      </c>
      <c r="I6" s="154">
        <f t="array" ref="I6">SUMPRODUCT(I7:I10, segment.split)</f>
        <v>0</v>
      </c>
      <c r="J6" s="43" t="s">
        <v>629</v>
      </c>
    </row>
    <row r="7" spans="1:15" ht="12">
      <c r="C7" s="208" t="str">
        <f t="array" ref="C7:C10">segments</f>
        <v>Residential</v>
      </c>
      <c r="D7" t="s">
        <v>218</v>
      </c>
      <c r="F7" s="113">
        <f>F17</f>
        <v>0</v>
      </c>
      <c r="G7" s="43" t="s">
        <v>231</v>
      </c>
      <c r="I7" s="113">
        <f>SUM(I652:I653,F657:G657)</f>
        <v>0</v>
      </c>
      <c r="J7" s="43" t="s">
        <v>630</v>
      </c>
    </row>
    <row r="8" spans="1:15" ht="12">
      <c r="C8" s="208" t="str">
        <v>Business</v>
      </c>
      <c r="D8" t="s">
        <v>218</v>
      </c>
      <c r="F8" s="113">
        <f>F175</f>
        <v>0</v>
      </c>
      <c r="G8" s="43" t="s">
        <v>232</v>
      </c>
      <c r="I8" s="113">
        <f>SUM(I698:I699,F703:G703)</f>
        <v>0</v>
      </c>
      <c r="J8" s="43" t="s">
        <v>631</v>
      </c>
    </row>
    <row r="9" spans="1:15" ht="12">
      <c r="C9" s="208" t="str">
        <v>SpareSegmentC</v>
      </c>
      <c r="D9" t="s">
        <v>218</v>
      </c>
      <c r="F9" s="113">
        <f>F333</f>
        <v>0</v>
      </c>
      <c r="G9" s="43" t="s">
        <v>233</v>
      </c>
      <c r="I9" s="113">
        <f>SUM(I744:I745,F749:G749)</f>
        <v>0</v>
      </c>
      <c r="J9" s="43" t="s">
        <v>632</v>
      </c>
    </row>
    <row r="10" spans="1:15" ht="12">
      <c r="C10" s="208" t="str">
        <v>SpareSegmentD</v>
      </c>
      <c r="D10" t="s">
        <v>218</v>
      </c>
      <c r="F10" s="113">
        <f>F491</f>
        <v>0</v>
      </c>
      <c r="G10" s="43" t="s">
        <v>234</v>
      </c>
      <c r="I10" s="113">
        <f>SUM(I790:I791,F795:G795)</f>
        <v>0</v>
      </c>
      <c r="J10" s="43" t="s">
        <v>633</v>
      </c>
    </row>
    <row r="12" spans="1:15" ht="15.5">
      <c r="A12" s="36" t="s">
        <v>195</v>
      </c>
    </row>
    <row r="14" spans="1:15" s="220" customFormat="1">
      <c r="A14" s="220">
        <v>1</v>
      </c>
      <c r="B14" s="221" t="str">
        <f>INDEX(segments,A14)</f>
        <v>Residential</v>
      </c>
      <c r="C14" s="207"/>
    </row>
    <row r="15" spans="1:15" outlineLevel="1"/>
    <row r="16" spans="1:15" outlineLevel="1">
      <c r="B16" s="91" t="s">
        <v>388</v>
      </c>
      <c r="F16" s="1" t="s">
        <v>171</v>
      </c>
    </row>
    <row r="17" spans="3:6" outlineLevel="1">
      <c r="C17" s="1" t="s">
        <v>309</v>
      </c>
      <c r="D17" s="93" t="s">
        <v>196</v>
      </c>
      <c r="F17" s="146">
        <f>SUMPRODUCT(subscription.split.segment.1,F18:F52)</f>
        <v>0</v>
      </c>
    </row>
    <row r="18" spans="3:6" outlineLevel="1">
      <c r="C18" s="73" t="str">
        <f t="array" ref="C18:C52">offers.segment.1</f>
        <v>SpareOfferA1</v>
      </c>
      <c r="D18" t="s">
        <v>170</v>
      </c>
      <c r="F18" s="168">
        <f t="shared" ref="F18:F52" si="0">F58+F97+F136</f>
        <v>0</v>
      </c>
    </row>
    <row r="19" spans="3:6" hidden="1" outlineLevel="2">
      <c r="C19" s="73" t="str">
        <v>SpareOfferA2</v>
      </c>
      <c r="D19" t="s">
        <v>170</v>
      </c>
      <c r="F19" s="168">
        <f t="shared" si="0"/>
        <v>0</v>
      </c>
    </row>
    <row r="20" spans="3:6" hidden="1" outlineLevel="2">
      <c r="C20" s="73" t="str">
        <v>SpareOfferA3</v>
      </c>
      <c r="D20" t="s">
        <v>170</v>
      </c>
      <c r="F20" s="168">
        <f t="shared" si="0"/>
        <v>0</v>
      </c>
    </row>
    <row r="21" spans="3:6" hidden="1" outlineLevel="2">
      <c r="C21" s="73" t="str">
        <v>SpareOfferA4</v>
      </c>
      <c r="D21" t="s">
        <v>170</v>
      </c>
      <c r="F21" s="168">
        <f t="shared" si="0"/>
        <v>0</v>
      </c>
    </row>
    <row r="22" spans="3:6" hidden="1" outlineLevel="2">
      <c r="C22" s="73" t="str">
        <v>SpareOfferA5</v>
      </c>
      <c r="D22" t="s">
        <v>170</v>
      </c>
      <c r="F22" s="168">
        <f t="shared" si="0"/>
        <v>0</v>
      </c>
    </row>
    <row r="23" spans="3:6" hidden="1" outlineLevel="2">
      <c r="C23" s="73" t="str">
        <v>SpareOfferA6</v>
      </c>
      <c r="D23" t="s">
        <v>170</v>
      </c>
      <c r="F23" s="168">
        <f t="shared" si="0"/>
        <v>0</v>
      </c>
    </row>
    <row r="24" spans="3:6" hidden="1" outlineLevel="2">
      <c r="C24" s="73" t="str">
        <v>SpareOfferA7</v>
      </c>
      <c r="D24" t="s">
        <v>170</v>
      </c>
      <c r="F24" s="168">
        <f t="shared" si="0"/>
        <v>0</v>
      </c>
    </row>
    <row r="25" spans="3:6" hidden="1" outlineLevel="2">
      <c r="C25" s="73" t="str">
        <v>SpareOfferA8</v>
      </c>
      <c r="D25" t="s">
        <v>170</v>
      </c>
      <c r="F25" s="168">
        <f t="shared" si="0"/>
        <v>0</v>
      </c>
    </row>
    <row r="26" spans="3:6" hidden="1" outlineLevel="2">
      <c r="C26" s="73" t="str">
        <v>SpareOfferA9</v>
      </c>
      <c r="D26" t="s">
        <v>170</v>
      </c>
      <c r="F26" s="168">
        <f t="shared" si="0"/>
        <v>0</v>
      </c>
    </row>
    <row r="27" spans="3:6" hidden="1" outlineLevel="2">
      <c r="C27" s="73" t="str">
        <v>SpareOfferA10</v>
      </c>
      <c r="D27" t="s">
        <v>170</v>
      </c>
      <c r="F27" s="168">
        <f t="shared" si="0"/>
        <v>0</v>
      </c>
    </row>
    <row r="28" spans="3:6" hidden="1" outlineLevel="2">
      <c r="C28" s="73" t="str">
        <v>SpareOfferA11</v>
      </c>
      <c r="D28" t="s">
        <v>170</v>
      </c>
      <c r="F28" s="168">
        <f t="shared" si="0"/>
        <v>0</v>
      </c>
    </row>
    <row r="29" spans="3:6" hidden="1" outlineLevel="2">
      <c r="C29" s="73" t="str">
        <v>SpareOfferA12</v>
      </c>
      <c r="D29" t="s">
        <v>170</v>
      </c>
      <c r="F29" s="168">
        <f t="shared" si="0"/>
        <v>0</v>
      </c>
    </row>
    <row r="30" spans="3:6" hidden="1" outlineLevel="2">
      <c r="C30" s="73" t="str">
        <v>SpareOfferA13</v>
      </c>
      <c r="D30" t="s">
        <v>170</v>
      </c>
      <c r="F30" s="168">
        <f t="shared" si="0"/>
        <v>0</v>
      </c>
    </row>
    <row r="31" spans="3:6" hidden="1" outlineLevel="2">
      <c r="C31" s="73" t="str">
        <v>SpareOfferA14</v>
      </c>
      <c r="D31" t="s">
        <v>170</v>
      </c>
      <c r="F31" s="168">
        <f t="shared" si="0"/>
        <v>0</v>
      </c>
    </row>
    <row r="32" spans="3:6" hidden="1" outlineLevel="2">
      <c r="C32" s="73" t="str">
        <v>SpareOfferA15</v>
      </c>
      <c r="D32" t="s">
        <v>170</v>
      </c>
      <c r="F32" s="168">
        <f t="shared" si="0"/>
        <v>0</v>
      </c>
    </row>
    <row r="33" spans="3:6" hidden="1" outlineLevel="2">
      <c r="C33" s="73" t="str">
        <v>SpareOfferA16</v>
      </c>
      <c r="D33" t="s">
        <v>170</v>
      </c>
      <c r="F33" s="168">
        <f t="shared" si="0"/>
        <v>0</v>
      </c>
    </row>
    <row r="34" spans="3:6" hidden="1" outlineLevel="2">
      <c r="C34" s="73" t="str">
        <v>SpareOfferA17</v>
      </c>
      <c r="D34" t="s">
        <v>170</v>
      </c>
      <c r="F34" s="168">
        <f t="shared" si="0"/>
        <v>0</v>
      </c>
    </row>
    <row r="35" spans="3:6" hidden="1" outlineLevel="2">
      <c r="C35" s="73" t="str">
        <v>SpareOfferA18</v>
      </c>
      <c r="D35" t="s">
        <v>170</v>
      </c>
      <c r="F35" s="168">
        <f t="shared" si="0"/>
        <v>0</v>
      </c>
    </row>
    <row r="36" spans="3:6" hidden="1" outlineLevel="2">
      <c r="C36" s="73" t="str">
        <v>SpareOfferA19</v>
      </c>
      <c r="D36" t="s">
        <v>170</v>
      </c>
      <c r="F36" s="168">
        <f t="shared" si="0"/>
        <v>0</v>
      </c>
    </row>
    <row r="37" spans="3:6" hidden="1" outlineLevel="2">
      <c r="C37" s="73" t="str">
        <v>SpareOfferA20</v>
      </c>
      <c r="D37" t="s">
        <v>170</v>
      </c>
      <c r="F37" s="168">
        <f t="shared" si="0"/>
        <v>0</v>
      </c>
    </row>
    <row r="38" spans="3:6" hidden="1" outlineLevel="2">
      <c r="C38" s="73" t="str">
        <v>SpareOfferA21</v>
      </c>
      <c r="D38" t="s">
        <v>170</v>
      </c>
      <c r="F38" s="168">
        <f t="shared" si="0"/>
        <v>0</v>
      </c>
    </row>
    <row r="39" spans="3:6" hidden="1" outlineLevel="2">
      <c r="C39" s="73" t="str">
        <v>SpareOfferA22</v>
      </c>
      <c r="D39" t="s">
        <v>170</v>
      </c>
      <c r="F39" s="168">
        <f t="shared" si="0"/>
        <v>0</v>
      </c>
    </row>
    <row r="40" spans="3:6" hidden="1" outlineLevel="2">
      <c r="C40" s="73" t="str">
        <v>SpareOfferA23</v>
      </c>
      <c r="D40" t="s">
        <v>170</v>
      </c>
      <c r="F40" s="168">
        <f t="shared" si="0"/>
        <v>0</v>
      </c>
    </row>
    <row r="41" spans="3:6" hidden="1" outlineLevel="2">
      <c r="C41" s="73" t="str">
        <v>SpareOfferA24</v>
      </c>
      <c r="D41" t="s">
        <v>170</v>
      </c>
      <c r="F41" s="168">
        <f t="shared" si="0"/>
        <v>0</v>
      </c>
    </row>
    <row r="42" spans="3:6" hidden="1" outlineLevel="2">
      <c r="C42" s="73" t="str">
        <v>SpareOfferA25</v>
      </c>
      <c r="D42" t="s">
        <v>170</v>
      </c>
      <c r="F42" s="168">
        <f t="shared" si="0"/>
        <v>0</v>
      </c>
    </row>
    <row r="43" spans="3:6" hidden="1" outlineLevel="2">
      <c r="C43" s="73" t="str">
        <v>SpareOfferA26</v>
      </c>
      <c r="D43" t="s">
        <v>170</v>
      </c>
      <c r="F43" s="168">
        <f t="shared" si="0"/>
        <v>0</v>
      </c>
    </row>
    <row r="44" spans="3:6" hidden="1" outlineLevel="2">
      <c r="C44" s="73" t="str">
        <v>SpareOfferA27</v>
      </c>
      <c r="D44" t="s">
        <v>170</v>
      </c>
      <c r="F44" s="168">
        <f t="shared" si="0"/>
        <v>0</v>
      </c>
    </row>
    <row r="45" spans="3:6" hidden="1" outlineLevel="2">
      <c r="C45" s="73" t="str">
        <v>SpareOfferA28</v>
      </c>
      <c r="D45" t="s">
        <v>170</v>
      </c>
      <c r="F45" s="168">
        <f t="shared" si="0"/>
        <v>0</v>
      </c>
    </row>
    <row r="46" spans="3:6" hidden="1" outlineLevel="2">
      <c r="C46" s="73" t="str">
        <v>SpareOfferA29</v>
      </c>
      <c r="D46" t="s">
        <v>170</v>
      </c>
      <c r="F46" s="168">
        <f t="shared" si="0"/>
        <v>0</v>
      </c>
    </row>
    <row r="47" spans="3:6" hidden="1" outlineLevel="2">
      <c r="C47" s="73" t="str">
        <v>SpareOfferA30</v>
      </c>
      <c r="D47" t="s">
        <v>170</v>
      </c>
      <c r="F47" s="168">
        <f t="shared" si="0"/>
        <v>0</v>
      </c>
    </row>
    <row r="48" spans="3:6" hidden="1" outlineLevel="2">
      <c r="C48" s="73" t="str">
        <v>SpareOfferA31</v>
      </c>
      <c r="D48" t="s">
        <v>170</v>
      </c>
      <c r="F48" s="168">
        <f t="shared" si="0"/>
        <v>0</v>
      </c>
    </row>
    <row r="49" spans="2:10" hidden="1" outlineLevel="2">
      <c r="C49" s="73" t="str">
        <v>SpareOfferA32</v>
      </c>
      <c r="D49" t="s">
        <v>170</v>
      </c>
      <c r="F49" s="168">
        <f t="shared" si="0"/>
        <v>0</v>
      </c>
    </row>
    <row r="50" spans="2:10" hidden="1" outlineLevel="2">
      <c r="C50" s="73" t="str">
        <v>SpareOfferA33</v>
      </c>
      <c r="D50" t="s">
        <v>170</v>
      </c>
      <c r="F50" s="168">
        <f t="shared" si="0"/>
        <v>0</v>
      </c>
    </row>
    <row r="51" spans="2:10" hidden="1" outlineLevel="2">
      <c r="C51" s="73" t="str">
        <v>SpareOfferA34</v>
      </c>
      <c r="D51" t="s">
        <v>170</v>
      </c>
      <c r="F51" s="168">
        <f t="shared" si="0"/>
        <v>0</v>
      </c>
    </row>
    <row r="52" spans="2:10" outlineLevel="1" collapsed="1">
      <c r="C52" s="73" t="str">
        <v>SpareOfferA35</v>
      </c>
      <c r="D52" t="s">
        <v>170</v>
      </c>
      <c r="F52" s="168">
        <f t="shared" si="0"/>
        <v>0</v>
      </c>
    </row>
    <row r="53" spans="2:10" ht="12" outlineLevel="1">
      <c r="F53" s="43" t="s">
        <v>247</v>
      </c>
    </row>
    <row r="54" spans="2:10" outlineLevel="1"/>
    <row r="55" spans="2:10" outlineLevel="1">
      <c r="B55" s="91" t="s">
        <v>311</v>
      </c>
      <c r="H55" s="165" t="s">
        <v>276</v>
      </c>
      <c r="I55" s="165"/>
      <c r="J55" s="165"/>
    </row>
    <row r="56" spans="2:10" ht="23" outlineLevel="1">
      <c r="F56" s="1" t="s">
        <v>171</v>
      </c>
      <c r="H56" s="1" t="str">
        <f t="array" ref="H56:J56">options.selected.monthly</f>
        <v>Recurring</v>
      </c>
      <c r="I56" s="1" t="str">
        <v>Other fees</v>
      </c>
      <c r="J56" s="1" t="str">
        <v>Breach of lock-in</v>
      </c>
    </row>
    <row r="57" spans="2:10" outlineLevel="1">
      <c r="C57" s="1" t="s">
        <v>309</v>
      </c>
      <c r="D57" t="s">
        <v>170</v>
      </c>
      <c r="F57" s="146">
        <f>SUMPRODUCT(subscription.split.segment.1,F58:F92)</f>
        <v>0</v>
      </c>
      <c r="H57" s="146">
        <f>SUMPRODUCT(subscription.split.segment.1,H58:H92)</f>
        <v>0</v>
      </c>
      <c r="I57" s="146">
        <f>SUMPRODUCT(subscription.split.segment.1,I58:I92)</f>
        <v>0</v>
      </c>
      <c r="J57" s="146">
        <f>SUMPRODUCT(subscription.split.segment.1,J58:J92)</f>
        <v>0</v>
      </c>
    </row>
    <row r="58" spans="2:10" outlineLevel="1">
      <c r="B58">
        <f t="shared" ref="B58:B92" si="1">MATCH(C58,offers.segment.all,0)</f>
        <v>1</v>
      </c>
      <c r="C58" s="73" t="str">
        <f t="array" ref="C58:C92">offers.segment.1</f>
        <v>SpareOfferA1</v>
      </c>
      <c r="D58" t="s">
        <v>170</v>
      </c>
      <c r="F58" s="224">
        <f>SUM(H58:J58)</f>
        <v>0</v>
      </c>
      <c r="G58" s="129"/>
      <c r="H58" s="145">
        <f t="shared" ref="H58:J77" si="2">INDEX(per.sub.revenues.by.revenues.descriptions,$B58,MATCH(H$56,revenue.descriptions.short,0))</f>
        <v>0</v>
      </c>
      <c r="I58" s="145">
        <f t="shared" si="2"/>
        <v>0</v>
      </c>
      <c r="J58" s="145">
        <f t="shared" si="2"/>
        <v>0</v>
      </c>
    </row>
    <row r="59" spans="2:10" hidden="1" outlineLevel="2">
      <c r="B59">
        <f t="shared" si="1"/>
        <v>2</v>
      </c>
      <c r="C59" s="73" t="str">
        <v>SpareOfferA2</v>
      </c>
      <c r="D59" t="s">
        <v>170</v>
      </c>
      <c r="F59" s="224">
        <f t="shared" ref="F59:F92" si="3">SUM(H59:J59)</f>
        <v>0</v>
      </c>
      <c r="G59" s="129"/>
      <c r="H59" s="145">
        <f t="shared" si="2"/>
        <v>0</v>
      </c>
      <c r="I59" s="145">
        <f t="shared" si="2"/>
        <v>0</v>
      </c>
      <c r="J59" s="145">
        <f t="shared" si="2"/>
        <v>0</v>
      </c>
    </row>
    <row r="60" spans="2:10" hidden="1" outlineLevel="2">
      <c r="B60">
        <f t="shared" si="1"/>
        <v>3</v>
      </c>
      <c r="C60" s="73" t="str">
        <v>SpareOfferA3</v>
      </c>
      <c r="D60" t="s">
        <v>170</v>
      </c>
      <c r="F60" s="224">
        <f t="shared" si="3"/>
        <v>0</v>
      </c>
      <c r="G60" s="129"/>
      <c r="H60" s="145">
        <f t="shared" si="2"/>
        <v>0</v>
      </c>
      <c r="I60" s="145">
        <f t="shared" si="2"/>
        <v>0</v>
      </c>
      <c r="J60" s="145">
        <f t="shared" si="2"/>
        <v>0</v>
      </c>
    </row>
    <row r="61" spans="2:10" hidden="1" outlineLevel="2">
      <c r="B61">
        <f t="shared" si="1"/>
        <v>4</v>
      </c>
      <c r="C61" s="73" t="str">
        <v>SpareOfferA4</v>
      </c>
      <c r="D61" t="s">
        <v>170</v>
      </c>
      <c r="F61" s="224">
        <f t="shared" si="3"/>
        <v>0</v>
      </c>
      <c r="G61" s="129"/>
      <c r="H61" s="145">
        <f t="shared" si="2"/>
        <v>0</v>
      </c>
      <c r="I61" s="145">
        <f t="shared" si="2"/>
        <v>0</v>
      </c>
      <c r="J61" s="145">
        <f t="shared" si="2"/>
        <v>0</v>
      </c>
    </row>
    <row r="62" spans="2:10" hidden="1" outlineLevel="2">
      <c r="B62">
        <f t="shared" si="1"/>
        <v>5</v>
      </c>
      <c r="C62" s="73" t="str">
        <v>SpareOfferA5</v>
      </c>
      <c r="D62" t="s">
        <v>170</v>
      </c>
      <c r="F62" s="224">
        <f t="shared" si="3"/>
        <v>0</v>
      </c>
      <c r="G62" s="129"/>
      <c r="H62" s="145">
        <f t="shared" si="2"/>
        <v>0</v>
      </c>
      <c r="I62" s="145">
        <f t="shared" si="2"/>
        <v>0</v>
      </c>
      <c r="J62" s="145">
        <f t="shared" si="2"/>
        <v>0</v>
      </c>
    </row>
    <row r="63" spans="2:10" hidden="1" outlineLevel="2">
      <c r="B63">
        <f t="shared" si="1"/>
        <v>6</v>
      </c>
      <c r="C63" s="73" t="str">
        <v>SpareOfferA6</v>
      </c>
      <c r="D63" t="s">
        <v>170</v>
      </c>
      <c r="F63" s="224">
        <f t="shared" si="3"/>
        <v>0</v>
      </c>
      <c r="G63" s="129"/>
      <c r="H63" s="145">
        <f t="shared" si="2"/>
        <v>0</v>
      </c>
      <c r="I63" s="145">
        <f t="shared" si="2"/>
        <v>0</v>
      </c>
      <c r="J63" s="145">
        <f t="shared" si="2"/>
        <v>0</v>
      </c>
    </row>
    <row r="64" spans="2:10" hidden="1" outlineLevel="2">
      <c r="B64">
        <f t="shared" si="1"/>
        <v>7</v>
      </c>
      <c r="C64" s="73" t="str">
        <v>SpareOfferA7</v>
      </c>
      <c r="D64" t="s">
        <v>170</v>
      </c>
      <c r="F64" s="224">
        <f t="shared" si="3"/>
        <v>0</v>
      </c>
      <c r="G64" s="129"/>
      <c r="H64" s="145">
        <f t="shared" si="2"/>
        <v>0</v>
      </c>
      <c r="I64" s="145">
        <f t="shared" si="2"/>
        <v>0</v>
      </c>
      <c r="J64" s="145">
        <f t="shared" si="2"/>
        <v>0</v>
      </c>
    </row>
    <row r="65" spans="2:10" hidden="1" outlineLevel="2">
      <c r="B65">
        <f t="shared" si="1"/>
        <v>8</v>
      </c>
      <c r="C65" s="73" t="str">
        <v>SpareOfferA8</v>
      </c>
      <c r="D65" t="s">
        <v>170</v>
      </c>
      <c r="F65" s="224">
        <f t="shared" si="3"/>
        <v>0</v>
      </c>
      <c r="G65" s="129"/>
      <c r="H65" s="145">
        <f t="shared" si="2"/>
        <v>0</v>
      </c>
      <c r="I65" s="145">
        <f t="shared" si="2"/>
        <v>0</v>
      </c>
      <c r="J65" s="145">
        <f t="shared" si="2"/>
        <v>0</v>
      </c>
    </row>
    <row r="66" spans="2:10" hidden="1" outlineLevel="2">
      <c r="B66">
        <f t="shared" si="1"/>
        <v>9</v>
      </c>
      <c r="C66" s="73" t="str">
        <v>SpareOfferA9</v>
      </c>
      <c r="D66" t="s">
        <v>170</v>
      </c>
      <c r="F66" s="224">
        <f t="shared" si="3"/>
        <v>0</v>
      </c>
      <c r="G66" s="129"/>
      <c r="H66" s="145">
        <f t="shared" si="2"/>
        <v>0</v>
      </c>
      <c r="I66" s="145">
        <f t="shared" si="2"/>
        <v>0</v>
      </c>
      <c r="J66" s="145">
        <f t="shared" si="2"/>
        <v>0</v>
      </c>
    </row>
    <row r="67" spans="2:10" hidden="1" outlineLevel="2">
      <c r="B67">
        <f t="shared" si="1"/>
        <v>10</v>
      </c>
      <c r="C67" s="73" t="str">
        <v>SpareOfferA10</v>
      </c>
      <c r="D67" t="s">
        <v>170</v>
      </c>
      <c r="F67" s="224">
        <f t="shared" si="3"/>
        <v>0</v>
      </c>
      <c r="G67" s="129"/>
      <c r="H67" s="145">
        <f t="shared" si="2"/>
        <v>0</v>
      </c>
      <c r="I67" s="145">
        <f t="shared" si="2"/>
        <v>0</v>
      </c>
      <c r="J67" s="145">
        <f t="shared" si="2"/>
        <v>0</v>
      </c>
    </row>
    <row r="68" spans="2:10" hidden="1" outlineLevel="2">
      <c r="B68">
        <f t="shared" si="1"/>
        <v>11</v>
      </c>
      <c r="C68" s="73" t="str">
        <v>SpareOfferA11</v>
      </c>
      <c r="D68" t="s">
        <v>170</v>
      </c>
      <c r="F68" s="224">
        <f t="shared" si="3"/>
        <v>0</v>
      </c>
      <c r="G68" s="129"/>
      <c r="H68" s="145">
        <f t="shared" si="2"/>
        <v>0</v>
      </c>
      <c r="I68" s="145">
        <f t="shared" si="2"/>
        <v>0</v>
      </c>
      <c r="J68" s="145">
        <f t="shared" si="2"/>
        <v>0</v>
      </c>
    </row>
    <row r="69" spans="2:10" hidden="1" outlineLevel="2">
      <c r="B69">
        <f t="shared" si="1"/>
        <v>12</v>
      </c>
      <c r="C69" s="73" t="str">
        <v>SpareOfferA12</v>
      </c>
      <c r="D69" t="s">
        <v>170</v>
      </c>
      <c r="F69" s="224">
        <f t="shared" si="3"/>
        <v>0</v>
      </c>
      <c r="G69" s="129"/>
      <c r="H69" s="145">
        <f t="shared" si="2"/>
        <v>0</v>
      </c>
      <c r="I69" s="145">
        <f t="shared" si="2"/>
        <v>0</v>
      </c>
      <c r="J69" s="145">
        <f t="shared" si="2"/>
        <v>0</v>
      </c>
    </row>
    <row r="70" spans="2:10" hidden="1" outlineLevel="2">
      <c r="B70">
        <f t="shared" si="1"/>
        <v>13</v>
      </c>
      <c r="C70" s="73" t="str">
        <v>SpareOfferA13</v>
      </c>
      <c r="D70" t="s">
        <v>170</v>
      </c>
      <c r="F70" s="224">
        <f t="shared" si="3"/>
        <v>0</v>
      </c>
      <c r="G70" s="129"/>
      <c r="H70" s="145">
        <f t="shared" si="2"/>
        <v>0</v>
      </c>
      <c r="I70" s="145">
        <f t="shared" si="2"/>
        <v>0</v>
      </c>
      <c r="J70" s="145">
        <f t="shared" si="2"/>
        <v>0</v>
      </c>
    </row>
    <row r="71" spans="2:10" hidden="1" outlineLevel="2">
      <c r="B71">
        <f t="shared" si="1"/>
        <v>14</v>
      </c>
      <c r="C71" s="73" t="str">
        <v>SpareOfferA14</v>
      </c>
      <c r="D71" t="s">
        <v>170</v>
      </c>
      <c r="F71" s="224">
        <f t="shared" si="3"/>
        <v>0</v>
      </c>
      <c r="G71" s="129"/>
      <c r="H71" s="145">
        <f t="shared" si="2"/>
        <v>0</v>
      </c>
      <c r="I71" s="145">
        <f t="shared" si="2"/>
        <v>0</v>
      </c>
      <c r="J71" s="145">
        <f t="shared" si="2"/>
        <v>0</v>
      </c>
    </row>
    <row r="72" spans="2:10" hidden="1" outlineLevel="2">
      <c r="B72">
        <f t="shared" si="1"/>
        <v>15</v>
      </c>
      <c r="C72" s="73" t="str">
        <v>SpareOfferA15</v>
      </c>
      <c r="D72" t="s">
        <v>170</v>
      </c>
      <c r="F72" s="224">
        <f t="shared" si="3"/>
        <v>0</v>
      </c>
      <c r="G72" s="129"/>
      <c r="H72" s="145">
        <f t="shared" si="2"/>
        <v>0</v>
      </c>
      <c r="I72" s="145">
        <f t="shared" si="2"/>
        <v>0</v>
      </c>
      <c r="J72" s="145">
        <f t="shared" si="2"/>
        <v>0</v>
      </c>
    </row>
    <row r="73" spans="2:10" hidden="1" outlineLevel="2">
      <c r="B73">
        <f t="shared" si="1"/>
        <v>16</v>
      </c>
      <c r="C73" s="73" t="str">
        <v>SpareOfferA16</v>
      </c>
      <c r="D73" t="s">
        <v>170</v>
      </c>
      <c r="F73" s="224">
        <f t="shared" si="3"/>
        <v>0</v>
      </c>
      <c r="G73" s="129"/>
      <c r="H73" s="145">
        <f t="shared" si="2"/>
        <v>0</v>
      </c>
      <c r="I73" s="145">
        <f t="shared" si="2"/>
        <v>0</v>
      </c>
      <c r="J73" s="145">
        <f t="shared" si="2"/>
        <v>0</v>
      </c>
    </row>
    <row r="74" spans="2:10" hidden="1" outlineLevel="2">
      <c r="B74">
        <f t="shared" si="1"/>
        <v>17</v>
      </c>
      <c r="C74" s="73" t="str">
        <v>SpareOfferA17</v>
      </c>
      <c r="D74" t="s">
        <v>170</v>
      </c>
      <c r="F74" s="224">
        <f t="shared" si="3"/>
        <v>0</v>
      </c>
      <c r="G74" s="129"/>
      <c r="H74" s="145">
        <f t="shared" si="2"/>
        <v>0</v>
      </c>
      <c r="I74" s="145">
        <f t="shared" si="2"/>
        <v>0</v>
      </c>
      <c r="J74" s="145">
        <f t="shared" si="2"/>
        <v>0</v>
      </c>
    </row>
    <row r="75" spans="2:10" hidden="1" outlineLevel="2">
      <c r="B75">
        <f t="shared" si="1"/>
        <v>18</v>
      </c>
      <c r="C75" s="73" t="str">
        <v>SpareOfferA18</v>
      </c>
      <c r="D75" t="s">
        <v>170</v>
      </c>
      <c r="F75" s="224">
        <f t="shared" si="3"/>
        <v>0</v>
      </c>
      <c r="G75" s="129"/>
      <c r="H75" s="145">
        <f t="shared" si="2"/>
        <v>0</v>
      </c>
      <c r="I75" s="145">
        <f t="shared" si="2"/>
        <v>0</v>
      </c>
      <c r="J75" s="145">
        <f t="shared" si="2"/>
        <v>0</v>
      </c>
    </row>
    <row r="76" spans="2:10" hidden="1" outlineLevel="2">
      <c r="B76">
        <f t="shared" si="1"/>
        <v>19</v>
      </c>
      <c r="C76" s="73" t="str">
        <v>SpareOfferA19</v>
      </c>
      <c r="D76" t="s">
        <v>170</v>
      </c>
      <c r="F76" s="224">
        <f t="shared" si="3"/>
        <v>0</v>
      </c>
      <c r="G76" s="129"/>
      <c r="H76" s="145">
        <f t="shared" si="2"/>
        <v>0</v>
      </c>
      <c r="I76" s="145">
        <f t="shared" si="2"/>
        <v>0</v>
      </c>
      <c r="J76" s="145">
        <f t="shared" si="2"/>
        <v>0</v>
      </c>
    </row>
    <row r="77" spans="2:10" hidden="1" outlineLevel="2">
      <c r="B77">
        <f t="shared" si="1"/>
        <v>20</v>
      </c>
      <c r="C77" s="73" t="str">
        <v>SpareOfferA20</v>
      </c>
      <c r="D77" t="s">
        <v>170</v>
      </c>
      <c r="F77" s="224">
        <f t="shared" si="3"/>
        <v>0</v>
      </c>
      <c r="G77" s="129"/>
      <c r="H77" s="145">
        <f t="shared" si="2"/>
        <v>0</v>
      </c>
      <c r="I77" s="145">
        <f t="shared" si="2"/>
        <v>0</v>
      </c>
      <c r="J77" s="145">
        <f t="shared" si="2"/>
        <v>0</v>
      </c>
    </row>
    <row r="78" spans="2:10" hidden="1" outlineLevel="2">
      <c r="B78">
        <f t="shared" si="1"/>
        <v>21</v>
      </c>
      <c r="C78" s="73" t="str">
        <v>SpareOfferA21</v>
      </c>
      <c r="D78" t="s">
        <v>170</v>
      </c>
      <c r="F78" s="224">
        <f t="shared" si="3"/>
        <v>0</v>
      </c>
      <c r="G78" s="129"/>
      <c r="H78" s="145">
        <f t="shared" ref="H78:J92" si="4">INDEX(per.sub.revenues.by.revenues.descriptions,$B78,MATCH(H$56,revenue.descriptions.short,0))</f>
        <v>0</v>
      </c>
      <c r="I78" s="145">
        <f t="shared" si="4"/>
        <v>0</v>
      </c>
      <c r="J78" s="145">
        <f t="shared" si="4"/>
        <v>0</v>
      </c>
    </row>
    <row r="79" spans="2:10" hidden="1" outlineLevel="2">
      <c r="B79">
        <f t="shared" si="1"/>
        <v>22</v>
      </c>
      <c r="C79" s="73" t="str">
        <v>SpareOfferA22</v>
      </c>
      <c r="D79" t="s">
        <v>170</v>
      </c>
      <c r="F79" s="224">
        <f t="shared" si="3"/>
        <v>0</v>
      </c>
      <c r="G79" s="129"/>
      <c r="H79" s="145">
        <f t="shared" si="4"/>
        <v>0</v>
      </c>
      <c r="I79" s="145">
        <f t="shared" si="4"/>
        <v>0</v>
      </c>
      <c r="J79" s="145">
        <f t="shared" si="4"/>
        <v>0</v>
      </c>
    </row>
    <row r="80" spans="2:10" hidden="1" outlineLevel="2">
      <c r="B80">
        <f t="shared" si="1"/>
        <v>23</v>
      </c>
      <c r="C80" s="73" t="str">
        <v>SpareOfferA23</v>
      </c>
      <c r="D80" t="s">
        <v>170</v>
      </c>
      <c r="F80" s="224">
        <f t="shared" si="3"/>
        <v>0</v>
      </c>
      <c r="G80" s="129"/>
      <c r="H80" s="145">
        <f t="shared" si="4"/>
        <v>0</v>
      </c>
      <c r="I80" s="145">
        <f t="shared" si="4"/>
        <v>0</v>
      </c>
      <c r="J80" s="145">
        <f t="shared" si="4"/>
        <v>0</v>
      </c>
    </row>
    <row r="81" spans="2:21" hidden="1" outlineLevel="2">
      <c r="B81">
        <f t="shared" si="1"/>
        <v>24</v>
      </c>
      <c r="C81" s="73" t="str">
        <v>SpareOfferA24</v>
      </c>
      <c r="D81" t="s">
        <v>170</v>
      </c>
      <c r="F81" s="224">
        <f t="shared" si="3"/>
        <v>0</v>
      </c>
      <c r="G81" s="129"/>
      <c r="H81" s="145">
        <f t="shared" si="4"/>
        <v>0</v>
      </c>
      <c r="I81" s="145">
        <f t="shared" si="4"/>
        <v>0</v>
      </c>
      <c r="J81" s="145">
        <f t="shared" si="4"/>
        <v>0</v>
      </c>
    </row>
    <row r="82" spans="2:21" hidden="1" outlineLevel="2">
      <c r="B82">
        <f t="shared" si="1"/>
        <v>25</v>
      </c>
      <c r="C82" s="73" t="str">
        <v>SpareOfferA25</v>
      </c>
      <c r="D82" t="s">
        <v>170</v>
      </c>
      <c r="F82" s="224">
        <f t="shared" si="3"/>
        <v>0</v>
      </c>
      <c r="G82" s="129"/>
      <c r="H82" s="145">
        <f t="shared" si="4"/>
        <v>0</v>
      </c>
      <c r="I82" s="145">
        <f t="shared" si="4"/>
        <v>0</v>
      </c>
      <c r="J82" s="145">
        <f t="shared" si="4"/>
        <v>0</v>
      </c>
    </row>
    <row r="83" spans="2:21" hidden="1" outlineLevel="2">
      <c r="B83">
        <f t="shared" si="1"/>
        <v>26</v>
      </c>
      <c r="C83" s="73" t="str">
        <v>SpareOfferA26</v>
      </c>
      <c r="D83" t="s">
        <v>170</v>
      </c>
      <c r="F83" s="224">
        <f t="shared" si="3"/>
        <v>0</v>
      </c>
      <c r="G83" s="129"/>
      <c r="H83" s="145">
        <f t="shared" si="4"/>
        <v>0</v>
      </c>
      <c r="I83" s="145">
        <f t="shared" si="4"/>
        <v>0</v>
      </c>
      <c r="J83" s="145">
        <f t="shared" si="4"/>
        <v>0</v>
      </c>
    </row>
    <row r="84" spans="2:21" hidden="1" outlineLevel="2">
      <c r="B84">
        <f t="shared" si="1"/>
        <v>27</v>
      </c>
      <c r="C84" s="73" t="str">
        <v>SpareOfferA27</v>
      </c>
      <c r="D84" t="s">
        <v>170</v>
      </c>
      <c r="F84" s="224">
        <f t="shared" si="3"/>
        <v>0</v>
      </c>
      <c r="G84" s="129"/>
      <c r="H84" s="145">
        <f t="shared" si="4"/>
        <v>0</v>
      </c>
      <c r="I84" s="145">
        <f t="shared" si="4"/>
        <v>0</v>
      </c>
      <c r="J84" s="145">
        <f t="shared" si="4"/>
        <v>0</v>
      </c>
    </row>
    <row r="85" spans="2:21" hidden="1" outlineLevel="2">
      <c r="B85">
        <f t="shared" si="1"/>
        <v>28</v>
      </c>
      <c r="C85" s="73" t="str">
        <v>SpareOfferA28</v>
      </c>
      <c r="D85" t="s">
        <v>170</v>
      </c>
      <c r="F85" s="224">
        <f t="shared" si="3"/>
        <v>0</v>
      </c>
      <c r="G85" s="129"/>
      <c r="H85" s="145">
        <f t="shared" si="4"/>
        <v>0</v>
      </c>
      <c r="I85" s="145">
        <f t="shared" si="4"/>
        <v>0</v>
      </c>
      <c r="J85" s="145">
        <f t="shared" si="4"/>
        <v>0</v>
      </c>
    </row>
    <row r="86" spans="2:21" hidden="1" outlineLevel="2">
      <c r="B86">
        <f t="shared" si="1"/>
        <v>29</v>
      </c>
      <c r="C86" s="73" t="str">
        <v>SpareOfferA29</v>
      </c>
      <c r="D86" t="s">
        <v>170</v>
      </c>
      <c r="F86" s="224">
        <f t="shared" si="3"/>
        <v>0</v>
      </c>
      <c r="G86" s="129"/>
      <c r="H86" s="145">
        <f t="shared" si="4"/>
        <v>0</v>
      </c>
      <c r="I86" s="145">
        <f t="shared" si="4"/>
        <v>0</v>
      </c>
      <c r="J86" s="145">
        <f t="shared" si="4"/>
        <v>0</v>
      </c>
    </row>
    <row r="87" spans="2:21" hidden="1" outlineLevel="2">
      <c r="B87">
        <f t="shared" si="1"/>
        <v>30</v>
      </c>
      <c r="C87" s="73" t="str">
        <v>SpareOfferA30</v>
      </c>
      <c r="D87" t="s">
        <v>170</v>
      </c>
      <c r="F87" s="224">
        <f t="shared" si="3"/>
        <v>0</v>
      </c>
      <c r="G87" s="129"/>
      <c r="H87" s="145">
        <f t="shared" si="4"/>
        <v>0</v>
      </c>
      <c r="I87" s="145">
        <f t="shared" si="4"/>
        <v>0</v>
      </c>
      <c r="J87" s="145">
        <f t="shared" si="4"/>
        <v>0</v>
      </c>
    </row>
    <row r="88" spans="2:21" hidden="1" outlineLevel="2">
      <c r="B88">
        <f t="shared" si="1"/>
        <v>31</v>
      </c>
      <c r="C88" s="73" t="str">
        <v>SpareOfferA31</v>
      </c>
      <c r="D88" t="s">
        <v>170</v>
      </c>
      <c r="F88" s="224">
        <f t="shared" si="3"/>
        <v>0</v>
      </c>
      <c r="G88" s="129"/>
      <c r="H88" s="145">
        <f t="shared" si="4"/>
        <v>0</v>
      </c>
      <c r="I88" s="145">
        <f t="shared" si="4"/>
        <v>0</v>
      </c>
      <c r="J88" s="145">
        <f t="shared" si="4"/>
        <v>0</v>
      </c>
    </row>
    <row r="89" spans="2:21" hidden="1" outlineLevel="2">
      <c r="B89">
        <f t="shared" si="1"/>
        <v>32</v>
      </c>
      <c r="C89" s="73" t="str">
        <v>SpareOfferA32</v>
      </c>
      <c r="D89" t="s">
        <v>170</v>
      </c>
      <c r="F89" s="224">
        <f t="shared" si="3"/>
        <v>0</v>
      </c>
      <c r="G89" s="129"/>
      <c r="H89" s="145">
        <f t="shared" si="4"/>
        <v>0</v>
      </c>
      <c r="I89" s="145">
        <f t="shared" si="4"/>
        <v>0</v>
      </c>
      <c r="J89" s="145">
        <f t="shared" si="4"/>
        <v>0</v>
      </c>
    </row>
    <row r="90" spans="2:21" hidden="1" outlineLevel="2">
      <c r="B90">
        <f t="shared" si="1"/>
        <v>33</v>
      </c>
      <c r="C90" s="73" t="str">
        <v>SpareOfferA33</v>
      </c>
      <c r="D90" t="s">
        <v>170</v>
      </c>
      <c r="F90" s="224">
        <f t="shared" si="3"/>
        <v>0</v>
      </c>
      <c r="G90" s="129"/>
      <c r="H90" s="145">
        <f t="shared" si="4"/>
        <v>0</v>
      </c>
      <c r="I90" s="145">
        <f t="shared" si="4"/>
        <v>0</v>
      </c>
      <c r="J90" s="145">
        <f t="shared" si="4"/>
        <v>0</v>
      </c>
    </row>
    <row r="91" spans="2:21" hidden="1" outlineLevel="2">
      <c r="B91">
        <f t="shared" si="1"/>
        <v>34</v>
      </c>
      <c r="C91" s="73" t="str">
        <v>SpareOfferA34</v>
      </c>
      <c r="D91" t="s">
        <v>170</v>
      </c>
      <c r="F91" s="224">
        <f t="shared" si="3"/>
        <v>0</v>
      </c>
      <c r="G91" s="129"/>
      <c r="H91" s="145">
        <f t="shared" si="4"/>
        <v>0</v>
      </c>
      <c r="I91" s="145">
        <f t="shared" si="4"/>
        <v>0</v>
      </c>
      <c r="J91" s="145">
        <f t="shared" si="4"/>
        <v>0</v>
      </c>
    </row>
    <row r="92" spans="2:21" outlineLevel="1" collapsed="1">
      <c r="B92">
        <f t="shared" si="1"/>
        <v>35</v>
      </c>
      <c r="C92" s="73" t="str">
        <v>SpareOfferA35</v>
      </c>
      <c r="D92" t="s">
        <v>170</v>
      </c>
      <c r="F92" s="224">
        <f t="shared" si="3"/>
        <v>0</v>
      </c>
      <c r="G92" s="129"/>
      <c r="H92" s="145">
        <f t="shared" si="4"/>
        <v>0</v>
      </c>
      <c r="I92" s="145">
        <f t="shared" si="4"/>
        <v>0</v>
      </c>
      <c r="J92" s="145">
        <f t="shared" si="4"/>
        <v>0</v>
      </c>
    </row>
    <row r="93" spans="2:21" outlineLevel="1"/>
    <row r="94" spans="2:21" outlineLevel="1">
      <c r="B94" s="91" t="s">
        <v>215</v>
      </c>
      <c r="H94" s="66" t="s">
        <v>368</v>
      </c>
      <c r="I94" s="66"/>
      <c r="J94" s="66"/>
      <c r="K94" s="66"/>
      <c r="L94" s="66"/>
      <c r="M94" s="66"/>
      <c r="O94" s="66" t="s">
        <v>161</v>
      </c>
      <c r="P94" s="66"/>
      <c r="Q94" s="66"/>
      <c r="S94" s="165" t="s">
        <v>192</v>
      </c>
      <c r="T94" s="165"/>
      <c r="U94" s="165"/>
    </row>
    <row r="95" spans="2:21" ht="23" outlineLevel="1">
      <c r="F95" s="1" t="s">
        <v>171</v>
      </c>
      <c r="H95" s="95" t="str">
        <f t="array" ref="H95:M95">options.selected.basic</f>
        <v>National voice</v>
      </c>
      <c r="I95" s="95" t="str">
        <v>International voice</v>
      </c>
      <c r="J95" s="95" t="str">
        <v>National SMS</v>
      </c>
      <c r="K95" s="95" t="str">
        <v>International SMS</v>
      </c>
      <c r="L95" s="95" t="str">
        <v>National data</v>
      </c>
      <c r="M95" s="95" t="str">
        <v>Spare 1</v>
      </c>
      <c r="O95" s="95" t="str">
        <f t="array" ref="O95:Q95">options.selected.VAS</f>
        <v>VAS minutes</v>
      </c>
      <c r="P95" s="95" t="str">
        <v>VAS BankID</v>
      </c>
      <c r="Q95" s="95" t="str">
        <v>Other VAS messages</v>
      </c>
      <c r="S95" s="95" t="str">
        <f t="array" ref="S95:U95">options.selected.roaming</f>
        <v>Roaming voice</v>
      </c>
      <c r="T95" s="95" t="str">
        <v>Roaming messages</v>
      </c>
      <c r="U95" s="95" t="str">
        <v>Roaming data</v>
      </c>
    </row>
    <row r="96" spans="2:21" outlineLevel="1">
      <c r="C96" s="1" t="s">
        <v>309</v>
      </c>
      <c r="D96" t="s">
        <v>170</v>
      </c>
      <c r="F96" s="146">
        <f>SUMPRODUCT(subscription.split.segment.1,F97:F131)</f>
        <v>0</v>
      </c>
      <c r="H96" s="146">
        <f t="shared" ref="H96:M96" si="5">SUMPRODUCT(subscription.split.segment.1,H97:H131)</f>
        <v>0</v>
      </c>
      <c r="I96" s="146">
        <f t="shared" si="5"/>
        <v>0</v>
      </c>
      <c r="J96" s="146">
        <f t="shared" si="5"/>
        <v>0</v>
      </c>
      <c r="K96" s="146">
        <f t="shared" si="5"/>
        <v>0</v>
      </c>
      <c r="L96" s="146">
        <f t="shared" si="5"/>
        <v>0</v>
      </c>
      <c r="M96" s="146">
        <f t="shared" si="5"/>
        <v>0</v>
      </c>
      <c r="O96" s="146">
        <f>SUMPRODUCT(subscription.split.segment.1,O97:O131)</f>
        <v>0</v>
      </c>
      <c r="P96" s="146">
        <f>SUMPRODUCT(subscription.split.segment.1,P97:P131)</f>
        <v>0</v>
      </c>
      <c r="Q96" s="146">
        <f>SUMPRODUCT(subscription.split.segment.1,Q97:Q131)</f>
        <v>0</v>
      </c>
      <c r="S96" s="146">
        <f>SUMPRODUCT(subscription.split.segment.1,S97:S131)</f>
        <v>0</v>
      </c>
      <c r="T96" s="146">
        <f>SUMPRODUCT(subscription.split.segment.1,T97:T131)</f>
        <v>0</v>
      </c>
      <c r="U96" s="146">
        <f>SUMPRODUCT(subscription.split.segment.1,U97:U131)</f>
        <v>0</v>
      </c>
    </row>
    <row r="97" spans="2:21" outlineLevel="1">
      <c r="B97">
        <f t="shared" ref="B97:B131" si="6">MATCH(C97,offers.segment.all,0)</f>
        <v>1</v>
      </c>
      <c r="C97" s="73" t="str">
        <f t="array" ref="C97:C131">offers.segment.1</f>
        <v>SpareOfferA1</v>
      </c>
      <c r="D97" t="s">
        <v>170</v>
      </c>
      <c r="F97" s="225">
        <f>SUM(H97:M97)+SUM(O97:Q97)+SUM(S97:U97)</f>
        <v>0</v>
      </c>
      <c r="H97" s="145">
        <f t="shared" ref="H97:M106" si="7">INDEX(per.sub.revenues.by.revenues.descriptions,$B97,MATCH(H$95,revenue.descriptions.short,0))</f>
        <v>0</v>
      </c>
      <c r="I97" s="145">
        <f t="shared" si="7"/>
        <v>0</v>
      </c>
      <c r="J97" s="145">
        <f t="shared" si="7"/>
        <v>0</v>
      </c>
      <c r="K97" s="145">
        <f t="shared" si="7"/>
        <v>0</v>
      </c>
      <c r="L97" s="145">
        <f t="shared" si="7"/>
        <v>0</v>
      </c>
      <c r="M97" s="145">
        <f t="shared" si="7"/>
        <v>0</v>
      </c>
      <c r="O97" s="145">
        <f t="shared" ref="O97:Q116" si="8">INDEX(per.sub.revenues.by.revenues.descriptions,$B97,MATCH(O$95,revenue.descriptions.short,0))</f>
        <v>0</v>
      </c>
      <c r="P97" s="145">
        <f t="shared" si="8"/>
        <v>0</v>
      </c>
      <c r="Q97" s="145">
        <f t="shared" si="8"/>
        <v>0</v>
      </c>
      <c r="S97" s="145">
        <f t="shared" ref="S97:U116" si="9">INDEX(per.sub.revenues.by.revenues.descriptions,$B97,MATCH(S$95,revenue.descriptions.short,0))</f>
        <v>0</v>
      </c>
      <c r="T97" s="145">
        <f t="shared" si="9"/>
        <v>0</v>
      </c>
      <c r="U97" s="145">
        <f t="shared" si="9"/>
        <v>0</v>
      </c>
    </row>
    <row r="98" spans="2:21" ht="12" hidden="1" customHeight="1" outlineLevel="2">
      <c r="B98">
        <f t="shared" si="6"/>
        <v>2</v>
      </c>
      <c r="C98" s="73" t="str">
        <v>SpareOfferA2</v>
      </c>
      <c r="D98" t="s">
        <v>170</v>
      </c>
      <c r="F98" s="225">
        <f t="shared" ref="F98:F131" si="10">SUM(H98:M98)+SUM(O98:Q98)+SUM(S98:U98)</f>
        <v>0</v>
      </c>
      <c r="H98" s="145">
        <f t="shared" si="7"/>
        <v>0</v>
      </c>
      <c r="I98" s="145">
        <f t="shared" si="7"/>
        <v>0</v>
      </c>
      <c r="J98" s="145">
        <f t="shared" si="7"/>
        <v>0</v>
      </c>
      <c r="K98" s="145">
        <f t="shared" si="7"/>
        <v>0</v>
      </c>
      <c r="L98" s="145">
        <f t="shared" si="7"/>
        <v>0</v>
      </c>
      <c r="M98" s="145">
        <f t="shared" si="7"/>
        <v>0</v>
      </c>
      <c r="O98" s="145">
        <f t="shared" si="8"/>
        <v>0</v>
      </c>
      <c r="P98" s="145">
        <f t="shared" si="8"/>
        <v>0</v>
      </c>
      <c r="Q98" s="145">
        <f t="shared" si="8"/>
        <v>0</v>
      </c>
      <c r="S98" s="145">
        <f t="shared" si="9"/>
        <v>0</v>
      </c>
      <c r="T98" s="145">
        <f t="shared" si="9"/>
        <v>0</v>
      </c>
      <c r="U98" s="145">
        <f t="shared" si="9"/>
        <v>0</v>
      </c>
    </row>
    <row r="99" spans="2:21" ht="12" hidden="1" customHeight="1" outlineLevel="2">
      <c r="B99">
        <f t="shared" si="6"/>
        <v>3</v>
      </c>
      <c r="C99" s="73" t="str">
        <v>SpareOfferA3</v>
      </c>
      <c r="D99" t="s">
        <v>170</v>
      </c>
      <c r="F99" s="225">
        <f t="shared" si="10"/>
        <v>0</v>
      </c>
      <c r="H99" s="145">
        <f t="shared" si="7"/>
        <v>0</v>
      </c>
      <c r="I99" s="145">
        <f t="shared" si="7"/>
        <v>0</v>
      </c>
      <c r="J99" s="145">
        <f t="shared" si="7"/>
        <v>0</v>
      </c>
      <c r="K99" s="145">
        <f t="shared" si="7"/>
        <v>0</v>
      </c>
      <c r="L99" s="145">
        <f t="shared" si="7"/>
        <v>0</v>
      </c>
      <c r="M99" s="145">
        <f t="shared" si="7"/>
        <v>0</v>
      </c>
      <c r="O99" s="145">
        <f t="shared" si="8"/>
        <v>0</v>
      </c>
      <c r="P99" s="145">
        <f t="shared" si="8"/>
        <v>0</v>
      </c>
      <c r="Q99" s="145">
        <f t="shared" si="8"/>
        <v>0</v>
      </c>
      <c r="S99" s="145">
        <f t="shared" si="9"/>
        <v>0</v>
      </c>
      <c r="T99" s="145">
        <f t="shared" si="9"/>
        <v>0</v>
      </c>
      <c r="U99" s="145">
        <f t="shared" si="9"/>
        <v>0</v>
      </c>
    </row>
    <row r="100" spans="2:21" ht="12" hidden="1" customHeight="1" outlineLevel="2">
      <c r="B100">
        <f t="shared" si="6"/>
        <v>4</v>
      </c>
      <c r="C100" s="73" t="str">
        <v>SpareOfferA4</v>
      </c>
      <c r="D100" t="s">
        <v>170</v>
      </c>
      <c r="F100" s="225">
        <f t="shared" si="10"/>
        <v>0</v>
      </c>
      <c r="H100" s="145">
        <f t="shared" si="7"/>
        <v>0</v>
      </c>
      <c r="I100" s="145">
        <f t="shared" si="7"/>
        <v>0</v>
      </c>
      <c r="J100" s="145">
        <f t="shared" si="7"/>
        <v>0</v>
      </c>
      <c r="K100" s="145">
        <f t="shared" si="7"/>
        <v>0</v>
      </c>
      <c r="L100" s="145">
        <f t="shared" si="7"/>
        <v>0</v>
      </c>
      <c r="M100" s="145">
        <f t="shared" si="7"/>
        <v>0</v>
      </c>
      <c r="O100" s="145">
        <f t="shared" si="8"/>
        <v>0</v>
      </c>
      <c r="P100" s="145">
        <f t="shared" si="8"/>
        <v>0</v>
      </c>
      <c r="Q100" s="145">
        <f t="shared" si="8"/>
        <v>0</v>
      </c>
      <c r="S100" s="145">
        <f t="shared" si="9"/>
        <v>0</v>
      </c>
      <c r="T100" s="145">
        <f t="shared" si="9"/>
        <v>0</v>
      </c>
      <c r="U100" s="145">
        <f t="shared" si="9"/>
        <v>0</v>
      </c>
    </row>
    <row r="101" spans="2:21" ht="12" hidden="1" customHeight="1" outlineLevel="2">
      <c r="B101">
        <f t="shared" si="6"/>
        <v>5</v>
      </c>
      <c r="C101" s="73" t="str">
        <v>SpareOfferA5</v>
      </c>
      <c r="D101" t="s">
        <v>170</v>
      </c>
      <c r="F101" s="225">
        <f t="shared" si="10"/>
        <v>0</v>
      </c>
      <c r="H101" s="145">
        <f t="shared" si="7"/>
        <v>0</v>
      </c>
      <c r="I101" s="145">
        <f t="shared" si="7"/>
        <v>0</v>
      </c>
      <c r="J101" s="145">
        <f t="shared" si="7"/>
        <v>0</v>
      </c>
      <c r="K101" s="145">
        <f t="shared" si="7"/>
        <v>0</v>
      </c>
      <c r="L101" s="145">
        <f t="shared" si="7"/>
        <v>0</v>
      </c>
      <c r="M101" s="145">
        <f t="shared" si="7"/>
        <v>0</v>
      </c>
      <c r="O101" s="145">
        <f t="shared" si="8"/>
        <v>0</v>
      </c>
      <c r="P101" s="145">
        <f t="shared" si="8"/>
        <v>0</v>
      </c>
      <c r="Q101" s="145">
        <f t="shared" si="8"/>
        <v>0</v>
      </c>
      <c r="S101" s="145">
        <f t="shared" si="9"/>
        <v>0</v>
      </c>
      <c r="T101" s="145">
        <f t="shared" si="9"/>
        <v>0</v>
      </c>
      <c r="U101" s="145">
        <f t="shared" si="9"/>
        <v>0</v>
      </c>
    </row>
    <row r="102" spans="2:21" ht="12" hidden="1" customHeight="1" outlineLevel="2">
      <c r="B102">
        <f t="shared" si="6"/>
        <v>6</v>
      </c>
      <c r="C102" s="73" t="str">
        <v>SpareOfferA6</v>
      </c>
      <c r="D102" t="s">
        <v>170</v>
      </c>
      <c r="F102" s="225">
        <f t="shared" si="10"/>
        <v>0</v>
      </c>
      <c r="H102" s="145">
        <f t="shared" si="7"/>
        <v>0</v>
      </c>
      <c r="I102" s="145">
        <f t="shared" si="7"/>
        <v>0</v>
      </c>
      <c r="J102" s="145">
        <f t="shared" si="7"/>
        <v>0</v>
      </c>
      <c r="K102" s="145">
        <f t="shared" si="7"/>
        <v>0</v>
      </c>
      <c r="L102" s="145">
        <f t="shared" si="7"/>
        <v>0</v>
      </c>
      <c r="M102" s="145">
        <f t="shared" si="7"/>
        <v>0</v>
      </c>
      <c r="O102" s="145">
        <f t="shared" si="8"/>
        <v>0</v>
      </c>
      <c r="P102" s="145">
        <f t="shared" si="8"/>
        <v>0</v>
      </c>
      <c r="Q102" s="145">
        <f t="shared" si="8"/>
        <v>0</v>
      </c>
      <c r="S102" s="145">
        <f t="shared" si="9"/>
        <v>0</v>
      </c>
      <c r="T102" s="145">
        <f t="shared" si="9"/>
        <v>0</v>
      </c>
      <c r="U102" s="145">
        <f t="shared" si="9"/>
        <v>0</v>
      </c>
    </row>
    <row r="103" spans="2:21" ht="12" hidden="1" customHeight="1" outlineLevel="2">
      <c r="B103">
        <f t="shared" si="6"/>
        <v>7</v>
      </c>
      <c r="C103" s="73" t="str">
        <v>SpareOfferA7</v>
      </c>
      <c r="D103" t="s">
        <v>170</v>
      </c>
      <c r="F103" s="225">
        <f t="shared" si="10"/>
        <v>0</v>
      </c>
      <c r="H103" s="145">
        <f t="shared" si="7"/>
        <v>0</v>
      </c>
      <c r="I103" s="145">
        <f t="shared" si="7"/>
        <v>0</v>
      </c>
      <c r="J103" s="145">
        <f t="shared" si="7"/>
        <v>0</v>
      </c>
      <c r="K103" s="145">
        <f t="shared" si="7"/>
        <v>0</v>
      </c>
      <c r="L103" s="145">
        <f t="shared" si="7"/>
        <v>0</v>
      </c>
      <c r="M103" s="145">
        <f t="shared" si="7"/>
        <v>0</v>
      </c>
      <c r="O103" s="145">
        <f t="shared" si="8"/>
        <v>0</v>
      </c>
      <c r="P103" s="145">
        <f t="shared" si="8"/>
        <v>0</v>
      </c>
      <c r="Q103" s="145">
        <f t="shared" si="8"/>
        <v>0</v>
      </c>
      <c r="S103" s="145">
        <f t="shared" si="9"/>
        <v>0</v>
      </c>
      <c r="T103" s="145">
        <f t="shared" si="9"/>
        <v>0</v>
      </c>
      <c r="U103" s="145">
        <f t="shared" si="9"/>
        <v>0</v>
      </c>
    </row>
    <row r="104" spans="2:21" ht="12" hidden="1" customHeight="1" outlineLevel="2">
      <c r="B104">
        <f t="shared" si="6"/>
        <v>8</v>
      </c>
      <c r="C104" s="73" t="str">
        <v>SpareOfferA8</v>
      </c>
      <c r="D104" t="s">
        <v>170</v>
      </c>
      <c r="F104" s="225">
        <f t="shared" si="10"/>
        <v>0</v>
      </c>
      <c r="H104" s="145">
        <f t="shared" si="7"/>
        <v>0</v>
      </c>
      <c r="I104" s="145">
        <f t="shared" si="7"/>
        <v>0</v>
      </c>
      <c r="J104" s="145">
        <f t="shared" si="7"/>
        <v>0</v>
      </c>
      <c r="K104" s="145">
        <f t="shared" si="7"/>
        <v>0</v>
      </c>
      <c r="L104" s="145">
        <f t="shared" si="7"/>
        <v>0</v>
      </c>
      <c r="M104" s="145">
        <f t="shared" si="7"/>
        <v>0</v>
      </c>
      <c r="O104" s="145">
        <f t="shared" si="8"/>
        <v>0</v>
      </c>
      <c r="P104" s="145">
        <f t="shared" si="8"/>
        <v>0</v>
      </c>
      <c r="Q104" s="145">
        <f t="shared" si="8"/>
        <v>0</v>
      </c>
      <c r="S104" s="145">
        <f t="shared" si="9"/>
        <v>0</v>
      </c>
      <c r="T104" s="145">
        <f t="shared" si="9"/>
        <v>0</v>
      </c>
      <c r="U104" s="145">
        <f t="shared" si="9"/>
        <v>0</v>
      </c>
    </row>
    <row r="105" spans="2:21" ht="12" hidden="1" customHeight="1" outlineLevel="2">
      <c r="B105">
        <f t="shared" si="6"/>
        <v>9</v>
      </c>
      <c r="C105" s="73" t="str">
        <v>SpareOfferA9</v>
      </c>
      <c r="D105" t="s">
        <v>170</v>
      </c>
      <c r="F105" s="225">
        <f t="shared" si="10"/>
        <v>0</v>
      </c>
      <c r="H105" s="145">
        <f t="shared" si="7"/>
        <v>0</v>
      </c>
      <c r="I105" s="145">
        <f t="shared" si="7"/>
        <v>0</v>
      </c>
      <c r="J105" s="145">
        <f t="shared" si="7"/>
        <v>0</v>
      </c>
      <c r="K105" s="145">
        <f t="shared" si="7"/>
        <v>0</v>
      </c>
      <c r="L105" s="145">
        <f t="shared" si="7"/>
        <v>0</v>
      </c>
      <c r="M105" s="145">
        <f t="shared" si="7"/>
        <v>0</v>
      </c>
      <c r="O105" s="145">
        <f t="shared" si="8"/>
        <v>0</v>
      </c>
      <c r="P105" s="145">
        <f t="shared" si="8"/>
        <v>0</v>
      </c>
      <c r="Q105" s="145">
        <f t="shared" si="8"/>
        <v>0</v>
      </c>
      <c r="S105" s="145">
        <f t="shared" si="9"/>
        <v>0</v>
      </c>
      <c r="T105" s="145">
        <f t="shared" si="9"/>
        <v>0</v>
      </c>
      <c r="U105" s="145">
        <f t="shared" si="9"/>
        <v>0</v>
      </c>
    </row>
    <row r="106" spans="2:21" ht="12" hidden="1" customHeight="1" outlineLevel="2">
      <c r="B106">
        <f t="shared" si="6"/>
        <v>10</v>
      </c>
      <c r="C106" s="73" t="str">
        <v>SpareOfferA10</v>
      </c>
      <c r="D106" t="s">
        <v>170</v>
      </c>
      <c r="F106" s="225">
        <f t="shared" si="10"/>
        <v>0</v>
      </c>
      <c r="H106" s="145">
        <f t="shared" si="7"/>
        <v>0</v>
      </c>
      <c r="I106" s="145">
        <f t="shared" si="7"/>
        <v>0</v>
      </c>
      <c r="J106" s="145">
        <f t="shared" si="7"/>
        <v>0</v>
      </c>
      <c r="K106" s="145">
        <f t="shared" si="7"/>
        <v>0</v>
      </c>
      <c r="L106" s="145">
        <f t="shared" si="7"/>
        <v>0</v>
      </c>
      <c r="M106" s="145">
        <f t="shared" si="7"/>
        <v>0</v>
      </c>
      <c r="O106" s="145">
        <f t="shared" si="8"/>
        <v>0</v>
      </c>
      <c r="P106" s="145">
        <f t="shared" si="8"/>
        <v>0</v>
      </c>
      <c r="Q106" s="145">
        <f t="shared" si="8"/>
        <v>0</v>
      </c>
      <c r="S106" s="145">
        <f t="shared" si="9"/>
        <v>0</v>
      </c>
      <c r="T106" s="145">
        <f t="shared" si="9"/>
        <v>0</v>
      </c>
      <c r="U106" s="145">
        <f t="shared" si="9"/>
        <v>0</v>
      </c>
    </row>
    <row r="107" spans="2:21" ht="12" hidden="1" customHeight="1" outlineLevel="2">
      <c r="B107">
        <f t="shared" si="6"/>
        <v>11</v>
      </c>
      <c r="C107" s="73" t="str">
        <v>SpareOfferA11</v>
      </c>
      <c r="D107" t="s">
        <v>170</v>
      </c>
      <c r="F107" s="225">
        <f t="shared" si="10"/>
        <v>0</v>
      </c>
      <c r="H107" s="145">
        <f t="shared" ref="H107:M116" si="11">INDEX(per.sub.revenues.by.revenues.descriptions,$B107,MATCH(H$95,revenue.descriptions.short,0))</f>
        <v>0</v>
      </c>
      <c r="I107" s="145">
        <f t="shared" si="11"/>
        <v>0</v>
      </c>
      <c r="J107" s="145">
        <f t="shared" si="11"/>
        <v>0</v>
      </c>
      <c r="K107" s="145">
        <f t="shared" si="11"/>
        <v>0</v>
      </c>
      <c r="L107" s="145">
        <f t="shared" si="11"/>
        <v>0</v>
      </c>
      <c r="M107" s="145">
        <f t="shared" si="11"/>
        <v>0</v>
      </c>
      <c r="O107" s="145">
        <f t="shared" si="8"/>
        <v>0</v>
      </c>
      <c r="P107" s="145">
        <f t="shared" si="8"/>
        <v>0</v>
      </c>
      <c r="Q107" s="145">
        <f t="shared" si="8"/>
        <v>0</v>
      </c>
      <c r="S107" s="145">
        <f t="shared" si="9"/>
        <v>0</v>
      </c>
      <c r="T107" s="145">
        <f t="shared" si="9"/>
        <v>0</v>
      </c>
      <c r="U107" s="145">
        <f t="shared" si="9"/>
        <v>0</v>
      </c>
    </row>
    <row r="108" spans="2:21" ht="12" hidden="1" customHeight="1" outlineLevel="2">
      <c r="B108">
        <f t="shared" si="6"/>
        <v>12</v>
      </c>
      <c r="C108" s="73" t="str">
        <v>SpareOfferA12</v>
      </c>
      <c r="D108" t="s">
        <v>170</v>
      </c>
      <c r="F108" s="225">
        <f t="shared" si="10"/>
        <v>0</v>
      </c>
      <c r="H108" s="145">
        <f t="shared" si="11"/>
        <v>0</v>
      </c>
      <c r="I108" s="145">
        <f t="shared" si="11"/>
        <v>0</v>
      </c>
      <c r="J108" s="145">
        <f t="shared" si="11"/>
        <v>0</v>
      </c>
      <c r="K108" s="145">
        <f t="shared" si="11"/>
        <v>0</v>
      </c>
      <c r="L108" s="145">
        <f t="shared" si="11"/>
        <v>0</v>
      </c>
      <c r="M108" s="145">
        <f t="shared" si="11"/>
        <v>0</v>
      </c>
      <c r="O108" s="145">
        <f t="shared" si="8"/>
        <v>0</v>
      </c>
      <c r="P108" s="145">
        <f t="shared" si="8"/>
        <v>0</v>
      </c>
      <c r="Q108" s="145">
        <f t="shared" si="8"/>
        <v>0</v>
      </c>
      <c r="S108" s="145">
        <f t="shared" si="9"/>
        <v>0</v>
      </c>
      <c r="T108" s="145">
        <f t="shared" si="9"/>
        <v>0</v>
      </c>
      <c r="U108" s="145">
        <f t="shared" si="9"/>
        <v>0</v>
      </c>
    </row>
    <row r="109" spans="2:21" ht="12" hidden="1" customHeight="1" outlineLevel="2">
      <c r="B109">
        <f t="shared" si="6"/>
        <v>13</v>
      </c>
      <c r="C109" s="73" t="str">
        <v>SpareOfferA13</v>
      </c>
      <c r="D109" t="s">
        <v>170</v>
      </c>
      <c r="F109" s="225">
        <f t="shared" si="10"/>
        <v>0</v>
      </c>
      <c r="H109" s="145">
        <f t="shared" si="11"/>
        <v>0</v>
      </c>
      <c r="I109" s="145">
        <f t="shared" si="11"/>
        <v>0</v>
      </c>
      <c r="J109" s="145">
        <f t="shared" si="11"/>
        <v>0</v>
      </c>
      <c r="K109" s="145">
        <f t="shared" si="11"/>
        <v>0</v>
      </c>
      <c r="L109" s="145">
        <f t="shared" si="11"/>
        <v>0</v>
      </c>
      <c r="M109" s="145">
        <f t="shared" si="11"/>
        <v>0</v>
      </c>
      <c r="O109" s="145">
        <f t="shared" si="8"/>
        <v>0</v>
      </c>
      <c r="P109" s="145">
        <f t="shared" si="8"/>
        <v>0</v>
      </c>
      <c r="Q109" s="145">
        <f t="shared" si="8"/>
        <v>0</v>
      </c>
      <c r="S109" s="145">
        <f t="shared" si="9"/>
        <v>0</v>
      </c>
      <c r="T109" s="145">
        <f t="shared" si="9"/>
        <v>0</v>
      </c>
      <c r="U109" s="145">
        <f t="shared" si="9"/>
        <v>0</v>
      </c>
    </row>
    <row r="110" spans="2:21" ht="12" hidden="1" customHeight="1" outlineLevel="2">
      <c r="B110">
        <f t="shared" si="6"/>
        <v>14</v>
      </c>
      <c r="C110" s="73" t="str">
        <v>SpareOfferA14</v>
      </c>
      <c r="D110" t="s">
        <v>170</v>
      </c>
      <c r="F110" s="225">
        <f t="shared" si="10"/>
        <v>0</v>
      </c>
      <c r="H110" s="145">
        <f t="shared" si="11"/>
        <v>0</v>
      </c>
      <c r="I110" s="145">
        <f t="shared" si="11"/>
        <v>0</v>
      </c>
      <c r="J110" s="145">
        <f t="shared" si="11"/>
        <v>0</v>
      </c>
      <c r="K110" s="145">
        <f t="shared" si="11"/>
        <v>0</v>
      </c>
      <c r="L110" s="145">
        <f t="shared" si="11"/>
        <v>0</v>
      </c>
      <c r="M110" s="145">
        <f t="shared" si="11"/>
        <v>0</v>
      </c>
      <c r="O110" s="145">
        <f t="shared" si="8"/>
        <v>0</v>
      </c>
      <c r="P110" s="145">
        <f t="shared" si="8"/>
        <v>0</v>
      </c>
      <c r="Q110" s="145">
        <f t="shared" si="8"/>
        <v>0</v>
      </c>
      <c r="S110" s="145">
        <f t="shared" si="9"/>
        <v>0</v>
      </c>
      <c r="T110" s="145">
        <f t="shared" si="9"/>
        <v>0</v>
      </c>
      <c r="U110" s="145">
        <f t="shared" si="9"/>
        <v>0</v>
      </c>
    </row>
    <row r="111" spans="2:21" ht="12" hidden="1" customHeight="1" outlineLevel="2">
      <c r="B111">
        <f t="shared" si="6"/>
        <v>15</v>
      </c>
      <c r="C111" s="73" t="str">
        <v>SpareOfferA15</v>
      </c>
      <c r="D111" t="s">
        <v>170</v>
      </c>
      <c r="F111" s="225">
        <f t="shared" si="10"/>
        <v>0</v>
      </c>
      <c r="H111" s="145">
        <f t="shared" si="11"/>
        <v>0</v>
      </c>
      <c r="I111" s="145">
        <f t="shared" si="11"/>
        <v>0</v>
      </c>
      <c r="J111" s="145">
        <f t="shared" si="11"/>
        <v>0</v>
      </c>
      <c r="K111" s="145">
        <f t="shared" si="11"/>
        <v>0</v>
      </c>
      <c r="L111" s="145">
        <f t="shared" si="11"/>
        <v>0</v>
      </c>
      <c r="M111" s="145">
        <f t="shared" si="11"/>
        <v>0</v>
      </c>
      <c r="O111" s="145">
        <f t="shared" si="8"/>
        <v>0</v>
      </c>
      <c r="P111" s="145">
        <f t="shared" si="8"/>
        <v>0</v>
      </c>
      <c r="Q111" s="145">
        <f t="shared" si="8"/>
        <v>0</v>
      </c>
      <c r="S111" s="145">
        <f t="shared" si="9"/>
        <v>0</v>
      </c>
      <c r="T111" s="145">
        <f t="shared" si="9"/>
        <v>0</v>
      </c>
      <c r="U111" s="145">
        <f t="shared" si="9"/>
        <v>0</v>
      </c>
    </row>
    <row r="112" spans="2:21" ht="12" hidden="1" customHeight="1" outlineLevel="2">
      <c r="B112">
        <f t="shared" si="6"/>
        <v>16</v>
      </c>
      <c r="C112" s="73" t="str">
        <v>SpareOfferA16</v>
      </c>
      <c r="D112" t="s">
        <v>170</v>
      </c>
      <c r="F112" s="225">
        <f t="shared" si="10"/>
        <v>0</v>
      </c>
      <c r="H112" s="145">
        <f t="shared" si="11"/>
        <v>0</v>
      </c>
      <c r="I112" s="145">
        <f t="shared" si="11"/>
        <v>0</v>
      </c>
      <c r="J112" s="145">
        <f t="shared" si="11"/>
        <v>0</v>
      </c>
      <c r="K112" s="145">
        <f t="shared" si="11"/>
        <v>0</v>
      </c>
      <c r="L112" s="145">
        <f t="shared" si="11"/>
        <v>0</v>
      </c>
      <c r="M112" s="145">
        <f t="shared" si="11"/>
        <v>0</v>
      </c>
      <c r="O112" s="145">
        <f t="shared" si="8"/>
        <v>0</v>
      </c>
      <c r="P112" s="145">
        <f t="shared" si="8"/>
        <v>0</v>
      </c>
      <c r="Q112" s="145">
        <f t="shared" si="8"/>
        <v>0</v>
      </c>
      <c r="S112" s="145">
        <f t="shared" si="9"/>
        <v>0</v>
      </c>
      <c r="T112" s="145">
        <f t="shared" si="9"/>
        <v>0</v>
      </c>
      <c r="U112" s="145">
        <f t="shared" si="9"/>
        <v>0</v>
      </c>
    </row>
    <row r="113" spans="2:21" ht="12" hidden="1" customHeight="1" outlineLevel="2">
      <c r="B113">
        <f t="shared" si="6"/>
        <v>17</v>
      </c>
      <c r="C113" s="73" t="str">
        <v>SpareOfferA17</v>
      </c>
      <c r="D113" t="s">
        <v>170</v>
      </c>
      <c r="F113" s="225">
        <f t="shared" si="10"/>
        <v>0</v>
      </c>
      <c r="H113" s="145">
        <f t="shared" si="11"/>
        <v>0</v>
      </c>
      <c r="I113" s="145">
        <f t="shared" si="11"/>
        <v>0</v>
      </c>
      <c r="J113" s="145">
        <f t="shared" si="11"/>
        <v>0</v>
      </c>
      <c r="K113" s="145">
        <f t="shared" si="11"/>
        <v>0</v>
      </c>
      <c r="L113" s="145">
        <f t="shared" si="11"/>
        <v>0</v>
      </c>
      <c r="M113" s="145">
        <f t="shared" si="11"/>
        <v>0</v>
      </c>
      <c r="O113" s="145">
        <f t="shared" si="8"/>
        <v>0</v>
      </c>
      <c r="P113" s="145">
        <f t="shared" si="8"/>
        <v>0</v>
      </c>
      <c r="Q113" s="145">
        <f t="shared" si="8"/>
        <v>0</v>
      </c>
      <c r="S113" s="145">
        <f t="shared" si="9"/>
        <v>0</v>
      </c>
      <c r="T113" s="145">
        <f t="shared" si="9"/>
        <v>0</v>
      </c>
      <c r="U113" s="145">
        <f t="shared" si="9"/>
        <v>0</v>
      </c>
    </row>
    <row r="114" spans="2:21" ht="12" hidden="1" customHeight="1" outlineLevel="2">
      <c r="B114">
        <f t="shared" si="6"/>
        <v>18</v>
      </c>
      <c r="C114" s="73" t="str">
        <v>SpareOfferA18</v>
      </c>
      <c r="D114" t="s">
        <v>170</v>
      </c>
      <c r="F114" s="225">
        <f t="shared" si="10"/>
        <v>0</v>
      </c>
      <c r="H114" s="145">
        <f t="shared" si="11"/>
        <v>0</v>
      </c>
      <c r="I114" s="145">
        <f t="shared" si="11"/>
        <v>0</v>
      </c>
      <c r="J114" s="145">
        <f t="shared" si="11"/>
        <v>0</v>
      </c>
      <c r="K114" s="145">
        <f t="shared" si="11"/>
        <v>0</v>
      </c>
      <c r="L114" s="145">
        <f t="shared" si="11"/>
        <v>0</v>
      </c>
      <c r="M114" s="145">
        <f t="shared" si="11"/>
        <v>0</v>
      </c>
      <c r="O114" s="145">
        <f t="shared" si="8"/>
        <v>0</v>
      </c>
      <c r="P114" s="145">
        <f t="shared" si="8"/>
        <v>0</v>
      </c>
      <c r="Q114" s="145">
        <f t="shared" si="8"/>
        <v>0</v>
      </c>
      <c r="S114" s="145">
        <f t="shared" si="9"/>
        <v>0</v>
      </c>
      <c r="T114" s="145">
        <f t="shared" si="9"/>
        <v>0</v>
      </c>
      <c r="U114" s="145">
        <f t="shared" si="9"/>
        <v>0</v>
      </c>
    </row>
    <row r="115" spans="2:21" ht="12" hidden="1" customHeight="1" outlineLevel="2">
      <c r="B115">
        <f t="shared" si="6"/>
        <v>19</v>
      </c>
      <c r="C115" s="73" t="str">
        <v>SpareOfferA19</v>
      </c>
      <c r="D115" t="s">
        <v>170</v>
      </c>
      <c r="F115" s="225">
        <f t="shared" si="10"/>
        <v>0</v>
      </c>
      <c r="H115" s="145">
        <f t="shared" si="11"/>
        <v>0</v>
      </c>
      <c r="I115" s="145">
        <f t="shared" si="11"/>
        <v>0</v>
      </c>
      <c r="J115" s="145">
        <f t="shared" si="11"/>
        <v>0</v>
      </c>
      <c r="K115" s="145">
        <f t="shared" si="11"/>
        <v>0</v>
      </c>
      <c r="L115" s="145">
        <f t="shared" si="11"/>
        <v>0</v>
      </c>
      <c r="M115" s="145">
        <f t="shared" si="11"/>
        <v>0</v>
      </c>
      <c r="O115" s="145">
        <f t="shared" si="8"/>
        <v>0</v>
      </c>
      <c r="P115" s="145">
        <f t="shared" si="8"/>
        <v>0</v>
      </c>
      <c r="Q115" s="145">
        <f t="shared" si="8"/>
        <v>0</v>
      </c>
      <c r="S115" s="145">
        <f t="shared" si="9"/>
        <v>0</v>
      </c>
      <c r="T115" s="145">
        <f t="shared" si="9"/>
        <v>0</v>
      </c>
      <c r="U115" s="145">
        <f t="shared" si="9"/>
        <v>0</v>
      </c>
    </row>
    <row r="116" spans="2:21" ht="12" hidden="1" customHeight="1" outlineLevel="2">
      <c r="B116">
        <f t="shared" si="6"/>
        <v>20</v>
      </c>
      <c r="C116" s="73" t="str">
        <v>SpareOfferA20</v>
      </c>
      <c r="D116" t="s">
        <v>170</v>
      </c>
      <c r="F116" s="225">
        <f t="shared" si="10"/>
        <v>0</v>
      </c>
      <c r="H116" s="145">
        <f t="shared" si="11"/>
        <v>0</v>
      </c>
      <c r="I116" s="145">
        <f t="shared" si="11"/>
        <v>0</v>
      </c>
      <c r="J116" s="145">
        <f t="shared" si="11"/>
        <v>0</v>
      </c>
      <c r="K116" s="145">
        <f t="shared" si="11"/>
        <v>0</v>
      </c>
      <c r="L116" s="145">
        <f t="shared" si="11"/>
        <v>0</v>
      </c>
      <c r="M116" s="145">
        <f t="shared" si="11"/>
        <v>0</v>
      </c>
      <c r="O116" s="145">
        <f t="shared" si="8"/>
        <v>0</v>
      </c>
      <c r="P116" s="145">
        <f t="shared" si="8"/>
        <v>0</v>
      </c>
      <c r="Q116" s="145">
        <f t="shared" si="8"/>
        <v>0</v>
      </c>
      <c r="S116" s="145">
        <f t="shared" si="9"/>
        <v>0</v>
      </c>
      <c r="T116" s="145">
        <f t="shared" si="9"/>
        <v>0</v>
      </c>
      <c r="U116" s="145">
        <f t="shared" si="9"/>
        <v>0</v>
      </c>
    </row>
    <row r="117" spans="2:21" ht="12" hidden="1" customHeight="1" outlineLevel="2">
      <c r="B117">
        <f t="shared" si="6"/>
        <v>21</v>
      </c>
      <c r="C117" s="73" t="str">
        <v>SpareOfferA21</v>
      </c>
      <c r="D117" t="s">
        <v>170</v>
      </c>
      <c r="F117" s="225">
        <f t="shared" si="10"/>
        <v>0</v>
      </c>
      <c r="H117" s="145">
        <f t="shared" ref="H117:M131" si="12">INDEX(per.sub.revenues.by.revenues.descriptions,$B117,MATCH(H$95,revenue.descriptions.short,0))</f>
        <v>0</v>
      </c>
      <c r="I117" s="145">
        <f t="shared" si="12"/>
        <v>0</v>
      </c>
      <c r="J117" s="145">
        <f t="shared" si="12"/>
        <v>0</v>
      </c>
      <c r="K117" s="145">
        <f t="shared" si="12"/>
        <v>0</v>
      </c>
      <c r="L117" s="145">
        <f t="shared" si="12"/>
        <v>0</v>
      </c>
      <c r="M117" s="145">
        <f t="shared" si="12"/>
        <v>0</v>
      </c>
      <c r="O117" s="145">
        <f t="shared" ref="O117:Q131" si="13">INDEX(per.sub.revenues.by.revenues.descriptions,$B117,MATCH(O$95,revenue.descriptions.short,0))</f>
        <v>0</v>
      </c>
      <c r="P117" s="145">
        <f t="shared" si="13"/>
        <v>0</v>
      </c>
      <c r="Q117" s="145">
        <f t="shared" si="13"/>
        <v>0</v>
      </c>
      <c r="S117" s="145">
        <f t="shared" ref="S117:U131" si="14">INDEX(per.sub.revenues.by.revenues.descriptions,$B117,MATCH(S$95,revenue.descriptions.short,0))</f>
        <v>0</v>
      </c>
      <c r="T117" s="145">
        <f t="shared" si="14"/>
        <v>0</v>
      </c>
      <c r="U117" s="145">
        <f t="shared" si="14"/>
        <v>0</v>
      </c>
    </row>
    <row r="118" spans="2:21" ht="12" hidden="1" customHeight="1" outlineLevel="2">
      <c r="B118">
        <f t="shared" si="6"/>
        <v>22</v>
      </c>
      <c r="C118" s="73" t="str">
        <v>SpareOfferA22</v>
      </c>
      <c r="D118" t="s">
        <v>170</v>
      </c>
      <c r="F118" s="225">
        <f t="shared" si="10"/>
        <v>0</v>
      </c>
      <c r="H118" s="145">
        <f t="shared" si="12"/>
        <v>0</v>
      </c>
      <c r="I118" s="145">
        <f t="shared" si="12"/>
        <v>0</v>
      </c>
      <c r="J118" s="145">
        <f t="shared" si="12"/>
        <v>0</v>
      </c>
      <c r="K118" s="145">
        <f t="shared" si="12"/>
        <v>0</v>
      </c>
      <c r="L118" s="145">
        <f t="shared" si="12"/>
        <v>0</v>
      </c>
      <c r="M118" s="145">
        <f t="shared" si="12"/>
        <v>0</v>
      </c>
      <c r="O118" s="145">
        <f t="shared" si="13"/>
        <v>0</v>
      </c>
      <c r="P118" s="145">
        <f t="shared" si="13"/>
        <v>0</v>
      </c>
      <c r="Q118" s="145">
        <f t="shared" si="13"/>
        <v>0</v>
      </c>
      <c r="S118" s="145">
        <f t="shared" si="14"/>
        <v>0</v>
      </c>
      <c r="T118" s="145">
        <f t="shared" si="14"/>
        <v>0</v>
      </c>
      <c r="U118" s="145">
        <f t="shared" si="14"/>
        <v>0</v>
      </c>
    </row>
    <row r="119" spans="2:21" ht="12" hidden="1" customHeight="1" outlineLevel="2">
      <c r="B119">
        <f t="shared" si="6"/>
        <v>23</v>
      </c>
      <c r="C119" s="73" t="str">
        <v>SpareOfferA23</v>
      </c>
      <c r="D119" t="s">
        <v>170</v>
      </c>
      <c r="F119" s="225">
        <f t="shared" si="10"/>
        <v>0</v>
      </c>
      <c r="H119" s="145">
        <f t="shared" si="12"/>
        <v>0</v>
      </c>
      <c r="I119" s="145">
        <f t="shared" si="12"/>
        <v>0</v>
      </c>
      <c r="J119" s="145">
        <f t="shared" si="12"/>
        <v>0</v>
      </c>
      <c r="K119" s="145">
        <f t="shared" si="12"/>
        <v>0</v>
      </c>
      <c r="L119" s="145">
        <f t="shared" si="12"/>
        <v>0</v>
      </c>
      <c r="M119" s="145">
        <f t="shared" si="12"/>
        <v>0</v>
      </c>
      <c r="O119" s="145">
        <f t="shared" si="13"/>
        <v>0</v>
      </c>
      <c r="P119" s="145">
        <f t="shared" si="13"/>
        <v>0</v>
      </c>
      <c r="Q119" s="145">
        <f t="shared" si="13"/>
        <v>0</v>
      </c>
      <c r="S119" s="145">
        <f t="shared" si="14"/>
        <v>0</v>
      </c>
      <c r="T119" s="145">
        <f t="shared" si="14"/>
        <v>0</v>
      </c>
      <c r="U119" s="145">
        <f t="shared" si="14"/>
        <v>0</v>
      </c>
    </row>
    <row r="120" spans="2:21" ht="12" hidden="1" customHeight="1" outlineLevel="2">
      <c r="B120">
        <f t="shared" si="6"/>
        <v>24</v>
      </c>
      <c r="C120" s="73" t="str">
        <v>SpareOfferA24</v>
      </c>
      <c r="D120" t="s">
        <v>170</v>
      </c>
      <c r="F120" s="225">
        <f t="shared" si="10"/>
        <v>0</v>
      </c>
      <c r="H120" s="145">
        <f t="shared" si="12"/>
        <v>0</v>
      </c>
      <c r="I120" s="145">
        <f t="shared" si="12"/>
        <v>0</v>
      </c>
      <c r="J120" s="145">
        <f t="shared" si="12"/>
        <v>0</v>
      </c>
      <c r="K120" s="145">
        <f t="shared" si="12"/>
        <v>0</v>
      </c>
      <c r="L120" s="145">
        <f t="shared" si="12"/>
        <v>0</v>
      </c>
      <c r="M120" s="145">
        <f t="shared" si="12"/>
        <v>0</v>
      </c>
      <c r="O120" s="145">
        <f t="shared" si="13"/>
        <v>0</v>
      </c>
      <c r="P120" s="145">
        <f t="shared" si="13"/>
        <v>0</v>
      </c>
      <c r="Q120" s="145">
        <f t="shared" si="13"/>
        <v>0</v>
      </c>
      <c r="S120" s="145">
        <f t="shared" si="14"/>
        <v>0</v>
      </c>
      <c r="T120" s="145">
        <f t="shared" si="14"/>
        <v>0</v>
      </c>
      <c r="U120" s="145">
        <f t="shared" si="14"/>
        <v>0</v>
      </c>
    </row>
    <row r="121" spans="2:21" ht="12" hidden="1" customHeight="1" outlineLevel="2">
      <c r="B121">
        <f t="shared" si="6"/>
        <v>25</v>
      </c>
      <c r="C121" s="73" t="str">
        <v>SpareOfferA25</v>
      </c>
      <c r="D121" t="s">
        <v>170</v>
      </c>
      <c r="F121" s="225">
        <f t="shared" si="10"/>
        <v>0</v>
      </c>
      <c r="H121" s="145">
        <f t="shared" si="12"/>
        <v>0</v>
      </c>
      <c r="I121" s="145">
        <f t="shared" si="12"/>
        <v>0</v>
      </c>
      <c r="J121" s="145">
        <f t="shared" si="12"/>
        <v>0</v>
      </c>
      <c r="K121" s="145">
        <f t="shared" si="12"/>
        <v>0</v>
      </c>
      <c r="L121" s="145">
        <f t="shared" si="12"/>
        <v>0</v>
      </c>
      <c r="M121" s="145">
        <f t="shared" si="12"/>
        <v>0</v>
      </c>
      <c r="O121" s="145">
        <f t="shared" si="13"/>
        <v>0</v>
      </c>
      <c r="P121" s="145">
        <f t="shared" si="13"/>
        <v>0</v>
      </c>
      <c r="Q121" s="145">
        <f t="shared" si="13"/>
        <v>0</v>
      </c>
      <c r="S121" s="145">
        <f t="shared" si="14"/>
        <v>0</v>
      </c>
      <c r="T121" s="145">
        <f t="shared" si="14"/>
        <v>0</v>
      </c>
      <c r="U121" s="145">
        <f t="shared" si="14"/>
        <v>0</v>
      </c>
    </row>
    <row r="122" spans="2:21" ht="12" hidden="1" customHeight="1" outlineLevel="2">
      <c r="B122">
        <f t="shared" si="6"/>
        <v>26</v>
      </c>
      <c r="C122" s="73" t="str">
        <v>SpareOfferA26</v>
      </c>
      <c r="D122" t="s">
        <v>170</v>
      </c>
      <c r="F122" s="225">
        <f t="shared" si="10"/>
        <v>0</v>
      </c>
      <c r="H122" s="145">
        <f t="shared" si="12"/>
        <v>0</v>
      </c>
      <c r="I122" s="145">
        <f t="shared" si="12"/>
        <v>0</v>
      </c>
      <c r="J122" s="145">
        <f t="shared" si="12"/>
        <v>0</v>
      </c>
      <c r="K122" s="145">
        <f t="shared" si="12"/>
        <v>0</v>
      </c>
      <c r="L122" s="145">
        <f t="shared" si="12"/>
        <v>0</v>
      </c>
      <c r="M122" s="145">
        <f t="shared" si="12"/>
        <v>0</v>
      </c>
      <c r="O122" s="145">
        <f t="shared" si="13"/>
        <v>0</v>
      </c>
      <c r="P122" s="145">
        <f t="shared" si="13"/>
        <v>0</v>
      </c>
      <c r="Q122" s="145">
        <f t="shared" si="13"/>
        <v>0</v>
      </c>
      <c r="S122" s="145">
        <f t="shared" si="14"/>
        <v>0</v>
      </c>
      <c r="T122" s="145">
        <f t="shared" si="14"/>
        <v>0</v>
      </c>
      <c r="U122" s="145">
        <f t="shared" si="14"/>
        <v>0</v>
      </c>
    </row>
    <row r="123" spans="2:21" ht="12" hidden="1" customHeight="1" outlineLevel="2">
      <c r="B123">
        <f t="shared" si="6"/>
        <v>27</v>
      </c>
      <c r="C123" s="73" t="str">
        <v>SpareOfferA27</v>
      </c>
      <c r="D123" t="s">
        <v>170</v>
      </c>
      <c r="F123" s="225">
        <f t="shared" si="10"/>
        <v>0</v>
      </c>
      <c r="H123" s="145">
        <f t="shared" si="12"/>
        <v>0</v>
      </c>
      <c r="I123" s="145">
        <f t="shared" si="12"/>
        <v>0</v>
      </c>
      <c r="J123" s="145">
        <f t="shared" si="12"/>
        <v>0</v>
      </c>
      <c r="K123" s="145">
        <f t="shared" si="12"/>
        <v>0</v>
      </c>
      <c r="L123" s="145">
        <f t="shared" si="12"/>
        <v>0</v>
      </c>
      <c r="M123" s="145">
        <f t="shared" si="12"/>
        <v>0</v>
      </c>
      <c r="O123" s="145">
        <f t="shared" si="13"/>
        <v>0</v>
      </c>
      <c r="P123" s="145">
        <f t="shared" si="13"/>
        <v>0</v>
      </c>
      <c r="Q123" s="145">
        <f t="shared" si="13"/>
        <v>0</v>
      </c>
      <c r="S123" s="145">
        <f t="shared" si="14"/>
        <v>0</v>
      </c>
      <c r="T123" s="145">
        <f t="shared" si="14"/>
        <v>0</v>
      </c>
      <c r="U123" s="145">
        <f t="shared" si="14"/>
        <v>0</v>
      </c>
    </row>
    <row r="124" spans="2:21" ht="12" hidden="1" customHeight="1" outlineLevel="2">
      <c r="B124">
        <f t="shared" si="6"/>
        <v>28</v>
      </c>
      <c r="C124" s="73" t="str">
        <v>SpareOfferA28</v>
      </c>
      <c r="D124" t="s">
        <v>170</v>
      </c>
      <c r="F124" s="225">
        <f t="shared" si="10"/>
        <v>0</v>
      </c>
      <c r="H124" s="145">
        <f t="shared" si="12"/>
        <v>0</v>
      </c>
      <c r="I124" s="145">
        <f t="shared" si="12"/>
        <v>0</v>
      </c>
      <c r="J124" s="145">
        <f t="shared" si="12"/>
        <v>0</v>
      </c>
      <c r="K124" s="145">
        <f t="shared" si="12"/>
        <v>0</v>
      </c>
      <c r="L124" s="145">
        <f t="shared" si="12"/>
        <v>0</v>
      </c>
      <c r="M124" s="145">
        <f t="shared" si="12"/>
        <v>0</v>
      </c>
      <c r="O124" s="145">
        <f t="shared" si="13"/>
        <v>0</v>
      </c>
      <c r="P124" s="145">
        <f t="shared" si="13"/>
        <v>0</v>
      </c>
      <c r="Q124" s="145">
        <f t="shared" si="13"/>
        <v>0</v>
      </c>
      <c r="S124" s="145">
        <f t="shared" si="14"/>
        <v>0</v>
      </c>
      <c r="T124" s="145">
        <f t="shared" si="14"/>
        <v>0</v>
      </c>
      <c r="U124" s="145">
        <f t="shared" si="14"/>
        <v>0</v>
      </c>
    </row>
    <row r="125" spans="2:21" ht="12" hidden="1" customHeight="1" outlineLevel="2">
      <c r="B125">
        <f t="shared" si="6"/>
        <v>29</v>
      </c>
      <c r="C125" s="73" t="str">
        <v>SpareOfferA29</v>
      </c>
      <c r="D125" t="s">
        <v>170</v>
      </c>
      <c r="F125" s="225">
        <f t="shared" si="10"/>
        <v>0</v>
      </c>
      <c r="H125" s="145">
        <f t="shared" si="12"/>
        <v>0</v>
      </c>
      <c r="I125" s="145">
        <f t="shared" si="12"/>
        <v>0</v>
      </c>
      <c r="J125" s="145">
        <f t="shared" si="12"/>
        <v>0</v>
      </c>
      <c r="K125" s="145">
        <f t="shared" si="12"/>
        <v>0</v>
      </c>
      <c r="L125" s="145">
        <f t="shared" si="12"/>
        <v>0</v>
      </c>
      <c r="M125" s="145">
        <f t="shared" si="12"/>
        <v>0</v>
      </c>
      <c r="O125" s="145">
        <f t="shared" si="13"/>
        <v>0</v>
      </c>
      <c r="P125" s="145">
        <f t="shared" si="13"/>
        <v>0</v>
      </c>
      <c r="Q125" s="145">
        <f t="shared" si="13"/>
        <v>0</v>
      </c>
      <c r="S125" s="145">
        <f t="shared" si="14"/>
        <v>0</v>
      </c>
      <c r="T125" s="145">
        <f t="shared" si="14"/>
        <v>0</v>
      </c>
      <c r="U125" s="145">
        <f t="shared" si="14"/>
        <v>0</v>
      </c>
    </row>
    <row r="126" spans="2:21" ht="12" hidden="1" customHeight="1" outlineLevel="2">
      <c r="B126">
        <f t="shared" si="6"/>
        <v>30</v>
      </c>
      <c r="C126" s="73" t="str">
        <v>SpareOfferA30</v>
      </c>
      <c r="D126" t="s">
        <v>170</v>
      </c>
      <c r="F126" s="225">
        <f t="shared" si="10"/>
        <v>0</v>
      </c>
      <c r="H126" s="145">
        <f t="shared" si="12"/>
        <v>0</v>
      </c>
      <c r="I126" s="145">
        <f t="shared" si="12"/>
        <v>0</v>
      </c>
      <c r="J126" s="145">
        <f t="shared" si="12"/>
        <v>0</v>
      </c>
      <c r="K126" s="145">
        <f t="shared" si="12"/>
        <v>0</v>
      </c>
      <c r="L126" s="145">
        <f t="shared" si="12"/>
        <v>0</v>
      </c>
      <c r="M126" s="145">
        <f t="shared" si="12"/>
        <v>0</v>
      </c>
      <c r="O126" s="145">
        <f t="shared" si="13"/>
        <v>0</v>
      </c>
      <c r="P126" s="145">
        <f t="shared" si="13"/>
        <v>0</v>
      </c>
      <c r="Q126" s="145">
        <f t="shared" si="13"/>
        <v>0</v>
      </c>
      <c r="S126" s="145">
        <f t="shared" si="14"/>
        <v>0</v>
      </c>
      <c r="T126" s="145">
        <f t="shared" si="14"/>
        <v>0</v>
      </c>
      <c r="U126" s="145">
        <f t="shared" si="14"/>
        <v>0</v>
      </c>
    </row>
    <row r="127" spans="2:21" ht="12" hidden="1" customHeight="1" outlineLevel="2">
      <c r="B127">
        <f t="shared" si="6"/>
        <v>31</v>
      </c>
      <c r="C127" s="73" t="str">
        <v>SpareOfferA31</v>
      </c>
      <c r="D127" t="s">
        <v>170</v>
      </c>
      <c r="F127" s="225">
        <f t="shared" si="10"/>
        <v>0</v>
      </c>
      <c r="H127" s="145">
        <f t="shared" si="12"/>
        <v>0</v>
      </c>
      <c r="I127" s="145">
        <f t="shared" si="12"/>
        <v>0</v>
      </c>
      <c r="J127" s="145">
        <f t="shared" si="12"/>
        <v>0</v>
      </c>
      <c r="K127" s="145">
        <f t="shared" si="12"/>
        <v>0</v>
      </c>
      <c r="L127" s="145">
        <f t="shared" si="12"/>
        <v>0</v>
      </c>
      <c r="M127" s="145">
        <f t="shared" si="12"/>
        <v>0</v>
      </c>
      <c r="O127" s="145">
        <f t="shared" si="13"/>
        <v>0</v>
      </c>
      <c r="P127" s="145">
        <f t="shared" si="13"/>
        <v>0</v>
      </c>
      <c r="Q127" s="145">
        <f t="shared" si="13"/>
        <v>0</v>
      </c>
      <c r="S127" s="145">
        <f t="shared" si="14"/>
        <v>0</v>
      </c>
      <c r="T127" s="145">
        <f t="shared" si="14"/>
        <v>0</v>
      </c>
      <c r="U127" s="145">
        <f t="shared" si="14"/>
        <v>0</v>
      </c>
    </row>
    <row r="128" spans="2:21" ht="12" hidden="1" customHeight="1" outlineLevel="2">
      <c r="B128">
        <f t="shared" si="6"/>
        <v>32</v>
      </c>
      <c r="C128" s="73" t="str">
        <v>SpareOfferA32</v>
      </c>
      <c r="D128" t="s">
        <v>170</v>
      </c>
      <c r="F128" s="225">
        <f t="shared" si="10"/>
        <v>0</v>
      </c>
      <c r="H128" s="145">
        <f t="shared" si="12"/>
        <v>0</v>
      </c>
      <c r="I128" s="145">
        <f t="shared" si="12"/>
        <v>0</v>
      </c>
      <c r="J128" s="145">
        <f t="shared" si="12"/>
        <v>0</v>
      </c>
      <c r="K128" s="145">
        <f t="shared" si="12"/>
        <v>0</v>
      </c>
      <c r="L128" s="145">
        <f t="shared" si="12"/>
        <v>0</v>
      </c>
      <c r="M128" s="145">
        <f t="shared" si="12"/>
        <v>0</v>
      </c>
      <c r="O128" s="145">
        <f t="shared" si="13"/>
        <v>0</v>
      </c>
      <c r="P128" s="145">
        <f t="shared" si="13"/>
        <v>0</v>
      </c>
      <c r="Q128" s="145">
        <f t="shared" si="13"/>
        <v>0</v>
      </c>
      <c r="S128" s="145">
        <f t="shared" si="14"/>
        <v>0</v>
      </c>
      <c r="T128" s="145">
        <f t="shared" si="14"/>
        <v>0</v>
      </c>
      <c r="U128" s="145">
        <f t="shared" si="14"/>
        <v>0</v>
      </c>
    </row>
    <row r="129" spans="2:21" ht="12" hidden="1" customHeight="1" outlineLevel="2">
      <c r="B129">
        <f t="shared" si="6"/>
        <v>33</v>
      </c>
      <c r="C129" s="73" t="str">
        <v>SpareOfferA33</v>
      </c>
      <c r="D129" t="s">
        <v>170</v>
      </c>
      <c r="F129" s="225">
        <f t="shared" si="10"/>
        <v>0</v>
      </c>
      <c r="H129" s="145">
        <f t="shared" si="12"/>
        <v>0</v>
      </c>
      <c r="I129" s="145">
        <f t="shared" si="12"/>
        <v>0</v>
      </c>
      <c r="J129" s="145">
        <f t="shared" si="12"/>
        <v>0</v>
      </c>
      <c r="K129" s="145">
        <f t="shared" si="12"/>
        <v>0</v>
      </c>
      <c r="L129" s="145">
        <f t="shared" si="12"/>
        <v>0</v>
      </c>
      <c r="M129" s="145">
        <f t="shared" si="12"/>
        <v>0</v>
      </c>
      <c r="O129" s="145">
        <f t="shared" si="13"/>
        <v>0</v>
      </c>
      <c r="P129" s="145">
        <f t="shared" si="13"/>
        <v>0</v>
      </c>
      <c r="Q129" s="145">
        <f t="shared" si="13"/>
        <v>0</v>
      </c>
      <c r="S129" s="145">
        <f t="shared" si="14"/>
        <v>0</v>
      </c>
      <c r="T129" s="145">
        <f t="shared" si="14"/>
        <v>0</v>
      </c>
      <c r="U129" s="145">
        <f t="shared" si="14"/>
        <v>0</v>
      </c>
    </row>
    <row r="130" spans="2:21" ht="12" hidden="1" customHeight="1" outlineLevel="2">
      <c r="B130">
        <f t="shared" si="6"/>
        <v>34</v>
      </c>
      <c r="C130" s="73" t="str">
        <v>SpareOfferA34</v>
      </c>
      <c r="D130" t="s">
        <v>170</v>
      </c>
      <c r="F130" s="225">
        <f t="shared" si="10"/>
        <v>0</v>
      </c>
      <c r="H130" s="145">
        <f t="shared" si="12"/>
        <v>0</v>
      </c>
      <c r="I130" s="145">
        <f t="shared" si="12"/>
        <v>0</v>
      </c>
      <c r="J130" s="145">
        <f t="shared" si="12"/>
        <v>0</v>
      </c>
      <c r="K130" s="145">
        <f t="shared" si="12"/>
        <v>0</v>
      </c>
      <c r="L130" s="145">
        <f t="shared" si="12"/>
        <v>0</v>
      </c>
      <c r="M130" s="145">
        <f t="shared" si="12"/>
        <v>0</v>
      </c>
      <c r="O130" s="145">
        <f t="shared" si="13"/>
        <v>0</v>
      </c>
      <c r="P130" s="145">
        <f t="shared" si="13"/>
        <v>0</v>
      </c>
      <c r="Q130" s="145">
        <f t="shared" si="13"/>
        <v>0</v>
      </c>
      <c r="S130" s="145">
        <f t="shared" si="14"/>
        <v>0</v>
      </c>
      <c r="T130" s="145">
        <f t="shared" si="14"/>
        <v>0</v>
      </c>
      <c r="U130" s="145">
        <f t="shared" si="14"/>
        <v>0</v>
      </c>
    </row>
    <row r="131" spans="2:21" outlineLevel="1" collapsed="1">
      <c r="B131">
        <f t="shared" si="6"/>
        <v>35</v>
      </c>
      <c r="C131" s="73" t="str">
        <v>SpareOfferA35</v>
      </c>
      <c r="D131" t="s">
        <v>170</v>
      </c>
      <c r="F131" s="225">
        <f t="shared" si="10"/>
        <v>0</v>
      </c>
      <c r="H131" s="145">
        <f t="shared" si="12"/>
        <v>0</v>
      </c>
      <c r="I131" s="145">
        <f t="shared" si="12"/>
        <v>0</v>
      </c>
      <c r="J131" s="145">
        <f t="shared" si="12"/>
        <v>0</v>
      </c>
      <c r="K131" s="145">
        <f t="shared" si="12"/>
        <v>0</v>
      </c>
      <c r="L131" s="145">
        <f t="shared" si="12"/>
        <v>0</v>
      </c>
      <c r="M131" s="145">
        <f t="shared" si="12"/>
        <v>0</v>
      </c>
      <c r="O131" s="145">
        <f t="shared" si="13"/>
        <v>0</v>
      </c>
      <c r="P131" s="145">
        <f t="shared" si="13"/>
        <v>0</v>
      </c>
      <c r="Q131" s="145">
        <f t="shared" si="13"/>
        <v>0</v>
      </c>
      <c r="S131" s="145">
        <f t="shared" si="14"/>
        <v>0</v>
      </c>
      <c r="T131" s="145">
        <f t="shared" si="14"/>
        <v>0</v>
      </c>
      <c r="U131" s="145">
        <f t="shared" si="14"/>
        <v>0</v>
      </c>
    </row>
    <row r="132" spans="2:21" outlineLevel="1"/>
    <row r="133" spans="2:21" outlineLevel="1">
      <c r="B133" s="91" t="s">
        <v>197</v>
      </c>
      <c r="C133" s="91"/>
      <c r="H133" s="223">
        <f t="array" ref="H133:J133">Incoming.termination</f>
        <v>0</v>
      </c>
      <c r="I133" s="223">
        <v>0</v>
      </c>
      <c r="J133" s="223">
        <v>0</v>
      </c>
    </row>
    <row r="134" spans="2:21" ht="23" outlineLevel="1">
      <c r="F134" s="1" t="s">
        <v>171</v>
      </c>
      <c r="H134" s="95" t="str">
        <f t="array" ref="H134:J134">options.selected.termination</f>
        <v>Voice termination</v>
      </c>
      <c r="I134" s="95" t="str">
        <v>Message termination</v>
      </c>
      <c r="J134" s="95" t="str">
        <v>Spare 1</v>
      </c>
    </row>
    <row r="135" spans="2:21" outlineLevel="1">
      <c r="C135" s="1" t="s">
        <v>309</v>
      </c>
      <c r="D135" t="s">
        <v>170</v>
      </c>
      <c r="F135" s="146">
        <f>SUMPRODUCT(subscription.split.segment.1,F136:F170)</f>
        <v>0</v>
      </c>
      <c r="H135" s="146">
        <f>SUMPRODUCT(subscription.split.segment.1,H136:H170)</f>
        <v>0</v>
      </c>
      <c r="I135" s="146">
        <f>SUMPRODUCT(subscription.split.segment.1,I136:I170)</f>
        <v>0</v>
      </c>
      <c r="J135" s="146">
        <f>SUMPRODUCT(subscription.split.segment.1,J136:J170)</f>
        <v>0</v>
      </c>
    </row>
    <row r="136" spans="2:21" outlineLevel="1">
      <c r="B136">
        <f t="shared" ref="B136:B170" si="15">MATCH(C136,offers.segment.all,0)</f>
        <v>1</v>
      </c>
      <c r="C136" s="73" t="str">
        <f t="array" ref="C136:C170">offers.segment.1</f>
        <v>SpareOfferA1</v>
      </c>
      <c r="D136" t="s">
        <v>170</v>
      </c>
      <c r="F136" s="226">
        <f>SUM(H136:J136)</f>
        <v>0</v>
      </c>
      <c r="H136" s="161">
        <f t="shared" ref="H136:J155" si="16">INDEX(per.sub.volumes.by.demand.descriptions,$B136,MATCH(H$134,demand.descriptions.short,0))*H$133</f>
        <v>0</v>
      </c>
      <c r="I136" s="122">
        <f t="shared" ref="I136:I170" si="17">IF(wholesale.offer.type.selected=lbl.SP,0,INDEX(per.sub.revenues.by.revenues.descriptions,$B136,MATCH(I$134,revenue.descriptions.short,0)))</f>
        <v>0</v>
      </c>
      <c r="J136" s="161">
        <f t="shared" si="16"/>
        <v>0</v>
      </c>
    </row>
    <row r="137" spans="2:21" hidden="1" outlineLevel="2">
      <c r="B137">
        <f t="shared" si="15"/>
        <v>2</v>
      </c>
      <c r="C137" s="73" t="str">
        <v>SpareOfferA2</v>
      </c>
      <c r="D137" t="s">
        <v>170</v>
      </c>
      <c r="F137" s="226">
        <f t="shared" ref="F137:F170" si="18">SUM(H137:J137)</f>
        <v>0</v>
      </c>
      <c r="H137" s="161">
        <f t="shared" si="16"/>
        <v>0</v>
      </c>
      <c r="I137" s="122">
        <f t="shared" si="17"/>
        <v>0</v>
      </c>
      <c r="J137" s="161">
        <f t="shared" si="16"/>
        <v>0</v>
      </c>
    </row>
    <row r="138" spans="2:21" hidden="1" outlineLevel="2">
      <c r="B138">
        <f t="shared" si="15"/>
        <v>3</v>
      </c>
      <c r="C138" s="73" t="str">
        <v>SpareOfferA3</v>
      </c>
      <c r="D138" t="s">
        <v>170</v>
      </c>
      <c r="F138" s="226">
        <f t="shared" si="18"/>
        <v>0</v>
      </c>
      <c r="H138" s="161">
        <f t="shared" si="16"/>
        <v>0</v>
      </c>
      <c r="I138" s="122">
        <f t="shared" si="17"/>
        <v>0</v>
      </c>
      <c r="J138" s="161">
        <f t="shared" si="16"/>
        <v>0</v>
      </c>
    </row>
    <row r="139" spans="2:21" hidden="1" outlineLevel="2">
      <c r="B139">
        <f t="shared" si="15"/>
        <v>4</v>
      </c>
      <c r="C139" s="73" t="str">
        <v>SpareOfferA4</v>
      </c>
      <c r="D139" t="s">
        <v>170</v>
      </c>
      <c r="F139" s="226">
        <f t="shared" si="18"/>
        <v>0</v>
      </c>
      <c r="H139" s="161">
        <f t="shared" si="16"/>
        <v>0</v>
      </c>
      <c r="I139" s="122">
        <f t="shared" si="17"/>
        <v>0</v>
      </c>
      <c r="J139" s="161">
        <f t="shared" si="16"/>
        <v>0</v>
      </c>
    </row>
    <row r="140" spans="2:21" hidden="1" outlineLevel="2">
      <c r="B140">
        <f t="shared" si="15"/>
        <v>5</v>
      </c>
      <c r="C140" s="73" t="str">
        <v>SpareOfferA5</v>
      </c>
      <c r="D140" t="s">
        <v>170</v>
      </c>
      <c r="F140" s="226">
        <f t="shared" si="18"/>
        <v>0</v>
      </c>
      <c r="H140" s="161">
        <f t="shared" si="16"/>
        <v>0</v>
      </c>
      <c r="I140" s="122">
        <f t="shared" si="17"/>
        <v>0</v>
      </c>
      <c r="J140" s="161">
        <f t="shared" si="16"/>
        <v>0</v>
      </c>
    </row>
    <row r="141" spans="2:21" hidden="1" outlineLevel="2">
      <c r="B141">
        <f t="shared" si="15"/>
        <v>6</v>
      </c>
      <c r="C141" s="73" t="str">
        <v>SpareOfferA6</v>
      </c>
      <c r="D141" t="s">
        <v>170</v>
      </c>
      <c r="F141" s="226">
        <f t="shared" si="18"/>
        <v>0</v>
      </c>
      <c r="H141" s="161">
        <f t="shared" si="16"/>
        <v>0</v>
      </c>
      <c r="I141" s="122">
        <f t="shared" si="17"/>
        <v>0</v>
      </c>
      <c r="J141" s="161">
        <f t="shared" si="16"/>
        <v>0</v>
      </c>
    </row>
    <row r="142" spans="2:21" hidden="1" outlineLevel="2">
      <c r="B142">
        <f t="shared" si="15"/>
        <v>7</v>
      </c>
      <c r="C142" s="73" t="str">
        <v>SpareOfferA7</v>
      </c>
      <c r="D142" t="s">
        <v>170</v>
      </c>
      <c r="F142" s="226">
        <f t="shared" si="18"/>
        <v>0</v>
      </c>
      <c r="H142" s="161">
        <f t="shared" si="16"/>
        <v>0</v>
      </c>
      <c r="I142" s="122">
        <f t="shared" si="17"/>
        <v>0</v>
      </c>
      <c r="J142" s="161">
        <f t="shared" si="16"/>
        <v>0</v>
      </c>
    </row>
    <row r="143" spans="2:21" hidden="1" outlineLevel="2">
      <c r="B143">
        <f t="shared" si="15"/>
        <v>8</v>
      </c>
      <c r="C143" s="73" t="str">
        <v>SpareOfferA8</v>
      </c>
      <c r="D143" t="s">
        <v>170</v>
      </c>
      <c r="F143" s="226">
        <f t="shared" si="18"/>
        <v>0</v>
      </c>
      <c r="H143" s="161">
        <f t="shared" si="16"/>
        <v>0</v>
      </c>
      <c r="I143" s="122">
        <f t="shared" si="17"/>
        <v>0</v>
      </c>
      <c r="J143" s="161">
        <f t="shared" si="16"/>
        <v>0</v>
      </c>
    </row>
    <row r="144" spans="2:21" hidden="1" outlineLevel="2">
      <c r="B144">
        <f t="shared" si="15"/>
        <v>9</v>
      </c>
      <c r="C144" s="73" t="str">
        <v>SpareOfferA9</v>
      </c>
      <c r="D144" t="s">
        <v>170</v>
      </c>
      <c r="F144" s="226">
        <f t="shared" si="18"/>
        <v>0</v>
      </c>
      <c r="H144" s="161">
        <f t="shared" si="16"/>
        <v>0</v>
      </c>
      <c r="I144" s="122">
        <f t="shared" si="17"/>
        <v>0</v>
      </c>
      <c r="J144" s="161">
        <f t="shared" si="16"/>
        <v>0</v>
      </c>
    </row>
    <row r="145" spans="2:10" hidden="1" outlineLevel="2">
      <c r="B145">
        <f t="shared" si="15"/>
        <v>10</v>
      </c>
      <c r="C145" s="73" t="str">
        <v>SpareOfferA10</v>
      </c>
      <c r="D145" t="s">
        <v>170</v>
      </c>
      <c r="F145" s="226">
        <f t="shared" si="18"/>
        <v>0</v>
      </c>
      <c r="H145" s="161">
        <f t="shared" si="16"/>
        <v>0</v>
      </c>
      <c r="I145" s="122">
        <f t="shared" si="17"/>
        <v>0</v>
      </c>
      <c r="J145" s="161">
        <f t="shared" si="16"/>
        <v>0</v>
      </c>
    </row>
    <row r="146" spans="2:10" hidden="1" outlineLevel="2">
      <c r="B146">
        <f t="shared" si="15"/>
        <v>11</v>
      </c>
      <c r="C146" s="73" t="str">
        <v>SpareOfferA11</v>
      </c>
      <c r="D146" t="s">
        <v>170</v>
      </c>
      <c r="F146" s="226">
        <f t="shared" si="18"/>
        <v>0</v>
      </c>
      <c r="H146" s="161">
        <f t="shared" si="16"/>
        <v>0</v>
      </c>
      <c r="I146" s="122">
        <f t="shared" si="17"/>
        <v>0</v>
      </c>
      <c r="J146" s="161">
        <f t="shared" si="16"/>
        <v>0</v>
      </c>
    </row>
    <row r="147" spans="2:10" hidden="1" outlineLevel="2">
      <c r="B147">
        <f t="shared" si="15"/>
        <v>12</v>
      </c>
      <c r="C147" s="73" t="str">
        <v>SpareOfferA12</v>
      </c>
      <c r="D147" t="s">
        <v>170</v>
      </c>
      <c r="F147" s="226">
        <f t="shared" si="18"/>
        <v>0</v>
      </c>
      <c r="H147" s="161">
        <f t="shared" si="16"/>
        <v>0</v>
      </c>
      <c r="I147" s="122">
        <f t="shared" si="17"/>
        <v>0</v>
      </c>
      <c r="J147" s="161">
        <f t="shared" si="16"/>
        <v>0</v>
      </c>
    </row>
    <row r="148" spans="2:10" hidden="1" outlineLevel="2">
      <c r="B148">
        <f t="shared" si="15"/>
        <v>13</v>
      </c>
      <c r="C148" s="73" t="str">
        <v>SpareOfferA13</v>
      </c>
      <c r="D148" t="s">
        <v>170</v>
      </c>
      <c r="F148" s="226">
        <f t="shared" si="18"/>
        <v>0</v>
      </c>
      <c r="H148" s="161">
        <f t="shared" si="16"/>
        <v>0</v>
      </c>
      <c r="I148" s="122">
        <f t="shared" si="17"/>
        <v>0</v>
      </c>
      <c r="J148" s="161">
        <f t="shared" si="16"/>
        <v>0</v>
      </c>
    </row>
    <row r="149" spans="2:10" hidden="1" outlineLevel="2">
      <c r="B149">
        <f t="shared" si="15"/>
        <v>14</v>
      </c>
      <c r="C149" s="73" t="str">
        <v>SpareOfferA14</v>
      </c>
      <c r="D149" t="s">
        <v>170</v>
      </c>
      <c r="F149" s="226">
        <f t="shared" si="18"/>
        <v>0</v>
      </c>
      <c r="H149" s="161">
        <f t="shared" si="16"/>
        <v>0</v>
      </c>
      <c r="I149" s="122">
        <f t="shared" si="17"/>
        <v>0</v>
      </c>
      <c r="J149" s="161">
        <f t="shared" si="16"/>
        <v>0</v>
      </c>
    </row>
    <row r="150" spans="2:10" hidden="1" outlineLevel="2">
      <c r="B150">
        <f t="shared" si="15"/>
        <v>15</v>
      </c>
      <c r="C150" s="73" t="str">
        <v>SpareOfferA15</v>
      </c>
      <c r="D150" t="s">
        <v>170</v>
      </c>
      <c r="F150" s="226">
        <f t="shared" si="18"/>
        <v>0</v>
      </c>
      <c r="H150" s="161">
        <f t="shared" si="16"/>
        <v>0</v>
      </c>
      <c r="I150" s="122">
        <f t="shared" si="17"/>
        <v>0</v>
      </c>
      <c r="J150" s="161">
        <f t="shared" si="16"/>
        <v>0</v>
      </c>
    </row>
    <row r="151" spans="2:10" hidden="1" outlineLevel="2">
      <c r="B151">
        <f t="shared" si="15"/>
        <v>16</v>
      </c>
      <c r="C151" s="73" t="str">
        <v>SpareOfferA16</v>
      </c>
      <c r="D151" t="s">
        <v>170</v>
      </c>
      <c r="F151" s="226">
        <f t="shared" si="18"/>
        <v>0</v>
      </c>
      <c r="H151" s="161">
        <f t="shared" si="16"/>
        <v>0</v>
      </c>
      <c r="I151" s="122">
        <f t="shared" si="17"/>
        <v>0</v>
      </c>
      <c r="J151" s="161">
        <f t="shared" si="16"/>
        <v>0</v>
      </c>
    </row>
    <row r="152" spans="2:10" hidden="1" outlineLevel="2">
      <c r="B152">
        <f t="shared" si="15"/>
        <v>17</v>
      </c>
      <c r="C152" s="73" t="str">
        <v>SpareOfferA17</v>
      </c>
      <c r="D152" t="s">
        <v>170</v>
      </c>
      <c r="F152" s="226">
        <f t="shared" si="18"/>
        <v>0</v>
      </c>
      <c r="H152" s="161">
        <f t="shared" si="16"/>
        <v>0</v>
      </c>
      <c r="I152" s="122">
        <f t="shared" si="17"/>
        <v>0</v>
      </c>
      <c r="J152" s="161">
        <f t="shared" si="16"/>
        <v>0</v>
      </c>
    </row>
    <row r="153" spans="2:10" hidden="1" outlineLevel="2">
      <c r="B153">
        <f t="shared" si="15"/>
        <v>18</v>
      </c>
      <c r="C153" s="73" t="str">
        <v>SpareOfferA18</v>
      </c>
      <c r="D153" t="s">
        <v>170</v>
      </c>
      <c r="F153" s="226">
        <f t="shared" si="18"/>
        <v>0</v>
      </c>
      <c r="H153" s="161">
        <f t="shared" si="16"/>
        <v>0</v>
      </c>
      <c r="I153" s="122">
        <f t="shared" si="17"/>
        <v>0</v>
      </c>
      <c r="J153" s="161">
        <f t="shared" si="16"/>
        <v>0</v>
      </c>
    </row>
    <row r="154" spans="2:10" hidden="1" outlineLevel="2">
      <c r="B154">
        <f t="shared" si="15"/>
        <v>19</v>
      </c>
      <c r="C154" s="73" t="str">
        <v>SpareOfferA19</v>
      </c>
      <c r="D154" t="s">
        <v>170</v>
      </c>
      <c r="F154" s="226">
        <f t="shared" si="18"/>
        <v>0</v>
      </c>
      <c r="H154" s="161">
        <f t="shared" si="16"/>
        <v>0</v>
      </c>
      <c r="I154" s="122">
        <f t="shared" si="17"/>
        <v>0</v>
      </c>
      <c r="J154" s="161">
        <f t="shared" si="16"/>
        <v>0</v>
      </c>
    </row>
    <row r="155" spans="2:10" hidden="1" outlineLevel="2">
      <c r="B155">
        <f t="shared" si="15"/>
        <v>20</v>
      </c>
      <c r="C155" s="73" t="str">
        <v>SpareOfferA20</v>
      </c>
      <c r="D155" t="s">
        <v>170</v>
      </c>
      <c r="F155" s="226">
        <f t="shared" si="18"/>
        <v>0</v>
      </c>
      <c r="H155" s="161">
        <f t="shared" si="16"/>
        <v>0</v>
      </c>
      <c r="I155" s="122">
        <f t="shared" si="17"/>
        <v>0</v>
      </c>
      <c r="J155" s="161">
        <f t="shared" si="16"/>
        <v>0</v>
      </c>
    </row>
    <row r="156" spans="2:10" hidden="1" outlineLevel="2">
      <c r="B156">
        <f t="shared" si="15"/>
        <v>21</v>
      </c>
      <c r="C156" s="73" t="str">
        <v>SpareOfferA21</v>
      </c>
      <c r="D156" t="s">
        <v>170</v>
      </c>
      <c r="F156" s="226">
        <f t="shared" si="18"/>
        <v>0</v>
      </c>
      <c r="H156" s="161">
        <f t="shared" ref="H156:J170" si="19">INDEX(per.sub.volumes.by.demand.descriptions,$B156,MATCH(H$134,demand.descriptions.short,0))*H$133</f>
        <v>0</v>
      </c>
      <c r="I156" s="122">
        <f t="shared" si="17"/>
        <v>0</v>
      </c>
      <c r="J156" s="161">
        <f t="shared" si="19"/>
        <v>0</v>
      </c>
    </row>
    <row r="157" spans="2:10" hidden="1" outlineLevel="2">
      <c r="B157">
        <f t="shared" si="15"/>
        <v>22</v>
      </c>
      <c r="C157" s="73" t="str">
        <v>SpareOfferA22</v>
      </c>
      <c r="D157" t="s">
        <v>170</v>
      </c>
      <c r="F157" s="226">
        <f t="shared" si="18"/>
        <v>0</v>
      </c>
      <c r="H157" s="161">
        <f t="shared" si="19"/>
        <v>0</v>
      </c>
      <c r="I157" s="122">
        <f t="shared" si="17"/>
        <v>0</v>
      </c>
      <c r="J157" s="161">
        <f t="shared" si="19"/>
        <v>0</v>
      </c>
    </row>
    <row r="158" spans="2:10" hidden="1" outlineLevel="2">
      <c r="B158">
        <f t="shared" si="15"/>
        <v>23</v>
      </c>
      <c r="C158" s="73" t="str">
        <v>SpareOfferA23</v>
      </c>
      <c r="D158" t="s">
        <v>170</v>
      </c>
      <c r="F158" s="226">
        <f t="shared" si="18"/>
        <v>0</v>
      </c>
      <c r="H158" s="161">
        <f t="shared" si="19"/>
        <v>0</v>
      </c>
      <c r="I158" s="122">
        <f t="shared" si="17"/>
        <v>0</v>
      </c>
      <c r="J158" s="161">
        <f t="shared" si="19"/>
        <v>0</v>
      </c>
    </row>
    <row r="159" spans="2:10" hidden="1" outlineLevel="2">
      <c r="B159">
        <f t="shared" si="15"/>
        <v>24</v>
      </c>
      <c r="C159" s="73" t="str">
        <v>SpareOfferA24</v>
      </c>
      <c r="D159" t="s">
        <v>170</v>
      </c>
      <c r="F159" s="226">
        <f t="shared" si="18"/>
        <v>0</v>
      </c>
      <c r="H159" s="161">
        <f t="shared" si="19"/>
        <v>0</v>
      </c>
      <c r="I159" s="122">
        <f t="shared" si="17"/>
        <v>0</v>
      </c>
      <c r="J159" s="161">
        <f t="shared" si="19"/>
        <v>0</v>
      </c>
    </row>
    <row r="160" spans="2:10" hidden="1" outlineLevel="2">
      <c r="B160">
        <f t="shared" si="15"/>
        <v>25</v>
      </c>
      <c r="C160" s="73" t="str">
        <v>SpareOfferA25</v>
      </c>
      <c r="D160" t="s">
        <v>170</v>
      </c>
      <c r="F160" s="226">
        <f t="shared" si="18"/>
        <v>0</v>
      </c>
      <c r="H160" s="161">
        <f t="shared" si="19"/>
        <v>0</v>
      </c>
      <c r="I160" s="122">
        <f t="shared" si="17"/>
        <v>0</v>
      </c>
      <c r="J160" s="161">
        <f t="shared" si="19"/>
        <v>0</v>
      </c>
    </row>
    <row r="161" spans="1:10" hidden="1" outlineLevel="2">
      <c r="B161">
        <f t="shared" si="15"/>
        <v>26</v>
      </c>
      <c r="C161" s="73" t="str">
        <v>SpareOfferA26</v>
      </c>
      <c r="D161" t="s">
        <v>170</v>
      </c>
      <c r="F161" s="226">
        <f t="shared" si="18"/>
        <v>0</v>
      </c>
      <c r="H161" s="161">
        <f t="shared" si="19"/>
        <v>0</v>
      </c>
      <c r="I161" s="122">
        <f t="shared" si="17"/>
        <v>0</v>
      </c>
      <c r="J161" s="161">
        <f t="shared" si="19"/>
        <v>0</v>
      </c>
    </row>
    <row r="162" spans="1:10" hidden="1" outlineLevel="2">
      <c r="B162">
        <f t="shared" si="15"/>
        <v>27</v>
      </c>
      <c r="C162" s="73" t="str">
        <v>SpareOfferA27</v>
      </c>
      <c r="D162" t="s">
        <v>170</v>
      </c>
      <c r="F162" s="226">
        <f t="shared" si="18"/>
        <v>0</v>
      </c>
      <c r="H162" s="161">
        <f t="shared" si="19"/>
        <v>0</v>
      </c>
      <c r="I162" s="122">
        <f t="shared" si="17"/>
        <v>0</v>
      </c>
      <c r="J162" s="161">
        <f t="shared" si="19"/>
        <v>0</v>
      </c>
    </row>
    <row r="163" spans="1:10" hidden="1" outlineLevel="2">
      <c r="B163">
        <f t="shared" si="15"/>
        <v>28</v>
      </c>
      <c r="C163" s="73" t="str">
        <v>SpareOfferA28</v>
      </c>
      <c r="D163" t="s">
        <v>170</v>
      </c>
      <c r="F163" s="226">
        <f t="shared" si="18"/>
        <v>0</v>
      </c>
      <c r="H163" s="161">
        <f t="shared" si="19"/>
        <v>0</v>
      </c>
      <c r="I163" s="122">
        <f t="shared" si="17"/>
        <v>0</v>
      </c>
      <c r="J163" s="161">
        <f t="shared" si="19"/>
        <v>0</v>
      </c>
    </row>
    <row r="164" spans="1:10" hidden="1" outlineLevel="2">
      <c r="B164">
        <f t="shared" si="15"/>
        <v>29</v>
      </c>
      <c r="C164" s="73" t="str">
        <v>SpareOfferA29</v>
      </c>
      <c r="D164" t="s">
        <v>170</v>
      </c>
      <c r="F164" s="226">
        <f t="shared" si="18"/>
        <v>0</v>
      </c>
      <c r="H164" s="161">
        <f t="shared" si="19"/>
        <v>0</v>
      </c>
      <c r="I164" s="122">
        <f t="shared" si="17"/>
        <v>0</v>
      </c>
      <c r="J164" s="161">
        <f t="shared" si="19"/>
        <v>0</v>
      </c>
    </row>
    <row r="165" spans="1:10" hidden="1" outlineLevel="2">
      <c r="B165">
        <f t="shared" si="15"/>
        <v>30</v>
      </c>
      <c r="C165" s="73" t="str">
        <v>SpareOfferA30</v>
      </c>
      <c r="D165" t="s">
        <v>170</v>
      </c>
      <c r="F165" s="226">
        <f t="shared" si="18"/>
        <v>0</v>
      </c>
      <c r="H165" s="161">
        <f t="shared" si="19"/>
        <v>0</v>
      </c>
      <c r="I165" s="122">
        <f t="shared" si="17"/>
        <v>0</v>
      </c>
      <c r="J165" s="161">
        <f t="shared" si="19"/>
        <v>0</v>
      </c>
    </row>
    <row r="166" spans="1:10" hidden="1" outlineLevel="2">
      <c r="B166">
        <f t="shared" si="15"/>
        <v>31</v>
      </c>
      <c r="C166" s="73" t="str">
        <v>SpareOfferA31</v>
      </c>
      <c r="D166" t="s">
        <v>170</v>
      </c>
      <c r="F166" s="226">
        <f t="shared" si="18"/>
        <v>0</v>
      </c>
      <c r="H166" s="161">
        <f t="shared" si="19"/>
        <v>0</v>
      </c>
      <c r="I166" s="122">
        <f t="shared" si="17"/>
        <v>0</v>
      </c>
      <c r="J166" s="161">
        <f t="shared" si="19"/>
        <v>0</v>
      </c>
    </row>
    <row r="167" spans="1:10" hidden="1" outlineLevel="2">
      <c r="B167">
        <f t="shared" si="15"/>
        <v>32</v>
      </c>
      <c r="C167" s="73" t="str">
        <v>SpareOfferA32</v>
      </c>
      <c r="D167" t="s">
        <v>170</v>
      </c>
      <c r="F167" s="226">
        <f t="shared" si="18"/>
        <v>0</v>
      </c>
      <c r="H167" s="161">
        <f t="shared" si="19"/>
        <v>0</v>
      </c>
      <c r="I167" s="122">
        <f t="shared" si="17"/>
        <v>0</v>
      </c>
      <c r="J167" s="161">
        <f t="shared" si="19"/>
        <v>0</v>
      </c>
    </row>
    <row r="168" spans="1:10" hidden="1" outlineLevel="2">
      <c r="B168">
        <f t="shared" si="15"/>
        <v>33</v>
      </c>
      <c r="C168" s="73" t="str">
        <v>SpareOfferA33</v>
      </c>
      <c r="D168" t="s">
        <v>170</v>
      </c>
      <c r="F168" s="226">
        <f t="shared" si="18"/>
        <v>0</v>
      </c>
      <c r="H168" s="161">
        <f t="shared" si="19"/>
        <v>0</v>
      </c>
      <c r="I168" s="122">
        <f t="shared" si="17"/>
        <v>0</v>
      </c>
      <c r="J168" s="161">
        <f t="shared" si="19"/>
        <v>0</v>
      </c>
    </row>
    <row r="169" spans="1:10" hidden="1" outlineLevel="2">
      <c r="B169">
        <f t="shared" si="15"/>
        <v>34</v>
      </c>
      <c r="C169" s="73" t="str">
        <v>SpareOfferA34</v>
      </c>
      <c r="D169" t="s">
        <v>170</v>
      </c>
      <c r="F169" s="226">
        <f t="shared" si="18"/>
        <v>0</v>
      </c>
      <c r="H169" s="161">
        <f t="shared" si="19"/>
        <v>0</v>
      </c>
      <c r="I169" s="122">
        <f t="shared" si="17"/>
        <v>0</v>
      </c>
      <c r="J169" s="161">
        <f t="shared" si="19"/>
        <v>0</v>
      </c>
    </row>
    <row r="170" spans="1:10" outlineLevel="1" collapsed="1">
      <c r="B170">
        <f t="shared" si="15"/>
        <v>35</v>
      </c>
      <c r="C170" s="73" t="str">
        <v>SpareOfferA35</v>
      </c>
      <c r="D170" t="s">
        <v>170</v>
      </c>
      <c r="F170" s="226">
        <f t="shared" si="18"/>
        <v>0</v>
      </c>
      <c r="H170" s="161">
        <f t="shared" si="19"/>
        <v>0</v>
      </c>
      <c r="I170" s="122">
        <f t="shared" si="17"/>
        <v>0</v>
      </c>
      <c r="J170" s="161">
        <f t="shared" si="19"/>
        <v>0</v>
      </c>
    </row>
    <row r="171" spans="1:10" outlineLevel="1"/>
    <row r="172" spans="1:10" s="220" customFormat="1">
      <c r="A172" s="220">
        <v>2</v>
      </c>
      <c r="B172" s="221" t="str">
        <f>INDEX(segments,A172)</f>
        <v>Business</v>
      </c>
      <c r="C172" s="207"/>
    </row>
    <row r="173" spans="1:10" outlineLevel="1"/>
    <row r="174" spans="1:10" outlineLevel="1">
      <c r="B174" s="91" t="s">
        <v>388</v>
      </c>
      <c r="F174" s="1" t="s">
        <v>171</v>
      </c>
    </row>
    <row r="175" spans="1:10" outlineLevel="1">
      <c r="C175" s="1" t="s">
        <v>309</v>
      </c>
      <c r="D175" s="93" t="s">
        <v>196</v>
      </c>
      <c r="F175" s="146">
        <f>SUMPRODUCT(subscription.split.segment.2,F176:F210)</f>
        <v>0</v>
      </c>
    </row>
    <row r="176" spans="1:10" outlineLevel="1">
      <c r="C176" s="73" t="str">
        <f t="array" ref="C176:C210">offers.segment.2</f>
        <v>SpareOfferB1</v>
      </c>
      <c r="D176" t="s">
        <v>170</v>
      </c>
      <c r="F176" s="148">
        <f>F216+F255+F294</f>
        <v>0</v>
      </c>
    </row>
    <row r="177" spans="3:6" hidden="1" outlineLevel="2">
      <c r="C177" s="73" t="str">
        <v>SpareOfferB2</v>
      </c>
      <c r="D177" t="s">
        <v>170</v>
      </c>
      <c r="F177" s="148">
        <f t="shared" ref="F177:F210" si="20">F217+F256+F295</f>
        <v>0</v>
      </c>
    </row>
    <row r="178" spans="3:6" hidden="1" outlineLevel="2">
      <c r="C178" s="73" t="str">
        <v>SpareOfferB3</v>
      </c>
      <c r="D178" t="s">
        <v>170</v>
      </c>
      <c r="F178" s="148">
        <f t="shared" si="20"/>
        <v>0</v>
      </c>
    </row>
    <row r="179" spans="3:6" hidden="1" outlineLevel="2">
      <c r="C179" s="73" t="str">
        <v>SpareOfferB4</v>
      </c>
      <c r="D179" t="s">
        <v>170</v>
      </c>
      <c r="F179" s="148">
        <f t="shared" si="20"/>
        <v>0</v>
      </c>
    </row>
    <row r="180" spans="3:6" hidden="1" outlineLevel="2">
      <c r="C180" s="73" t="str">
        <v>SpareOfferB5</v>
      </c>
      <c r="D180" t="s">
        <v>170</v>
      </c>
      <c r="F180" s="148">
        <f t="shared" si="20"/>
        <v>0</v>
      </c>
    </row>
    <row r="181" spans="3:6" hidden="1" outlineLevel="2">
      <c r="C181" s="73" t="str">
        <v>SpareOfferB6</v>
      </c>
      <c r="D181" t="s">
        <v>170</v>
      </c>
      <c r="F181" s="148">
        <f t="shared" si="20"/>
        <v>0</v>
      </c>
    </row>
    <row r="182" spans="3:6" hidden="1" outlineLevel="2">
      <c r="C182" s="73" t="str">
        <v>SpareOfferB7</v>
      </c>
      <c r="D182" t="s">
        <v>170</v>
      </c>
      <c r="F182" s="148">
        <f t="shared" si="20"/>
        <v>0</v>
      </c>
    </row>
    <row r="183" spans="3:6" hidden="1" outlineLevel="2">
      <c r="C183" s="73" t="str">
        <v>SpareOfferB8</v>
      </c>
      <c r="D183" t="s">
        <v>170</v>
      </c>
      <c r="F183" s="148">
        <f t="shared" si="20"/>
        <v>0</v>
      </c>
    </row>
    <row r="184" spans="3:6" hidden="1" outlineLevel="2">
      <c r="C184" s="73" t="str">
        <v>SpareOfferB9</v>
      </c>
      <c r="D184" t="s">
        <v>170</v>
      </c>
      <c r="F184" s="148">
        <f t="shared" si="20"/>
        <v>0</v>
      </c>
    </row>
    <row r="185" spans="3:6" hidden="1" outlineLevel="2">
      <c r="C185" s="73" t="str">
        <v>SpareOfferB10</v>
      </c>
      <c r="D185" t="s">
        <v>170</v>
      </c>
      <c r="F185" s="148">
        <f t="shared" si="20"/>
        <v>0</v>
      </c>
    </row>
    <row r="186" spans="3:6" hidden="1" outlineLevel="2">
      <c r="C186" s="73" t="str">
        <v>SpareOfferB11</v>
      </c>
      <c r="D186" t="s">
        <v>170</v>
      </c>
      <c r="F186" s="148">
        <f t="shared" si="20"/>
        <v>0</v>
      </c>
    </row>
    <row r="187" spans="3:6" hidden="1" outlineLevel="2">
      <c r="C187" s="73" t="str">
        <v>SpareOfferB12</v>
      </c>
      <c r="D187" t="s">
        <v>170</v>
      </c>
      <c r="F187" s="148">
        <f t="shared" si="20"/>
        <v>0</v>
      </c>
    </row>
    <row r="188" spans="3:6" hidden="1" outlineLevel="2">
      <c r="C188" s="73" t="str">
        <v>SpareOfferB13</v>
      </c>
      <c r="D188" t="s">
        <v>170</v>
      </c>
      <c r="F188" s="148">
        <f t="shared" si="20"/>
        <v>0</v>
      </c>
    </row>
    <row r="189" spans="3:6" hidden="1" outlineLevel="2">
      <c r="C189" s="73" t="str">
        <v>SpareOfferB14</v>
      </c>
      <c r="D189" t="s">
        <v>170</v>
      </c>
      <c r="F189" s="148">
        <f t="shared" si="20"/>
        <v>0</v>
      </c>
    </row>
    <row r="190" spans="3:6" hidden="1" outlineLevel="2">
      <c r="C190" s="73" t="str">
        <v>SpareOfferB15</v>
      </c>
      <c r="D190" t="s">
        <v>170</v>
      </c>
      <c r="F190" s="148">
        <f t="shared" si="20"/>
        <v>0</v>
      </c>
    </row>
    <row r="191" spans="3:6" hidden="1" outlineLevel="2">
      <c r="C191" s="73" t="str">
        <v>SpareOfferB16</v>
      </c>
      <c r="D191" t="s">
        <v>170</v>
      </c>
      <c r="F191" s="148">
        <f t="shared" si="20"/>
        <v>0</v>
      </c>
    </row>
    <row r="192" spans="3:6" hidden="1" outlineLevel="2">
      <c r="C192" s="73" t="str">
        <v>SpareOfferB17</v>
      </c>
      <c r="D192" t="s">
        <v>170</v>
      </c>
      <c r="F192" s="148">
        <f t="shared" si="20"/>
        <v>0</v>
      </c>
    </row>
    <row r="193" spans="3:6" hidden="1" outlineLevel="2">
      <c r="C193" s="73" t="str">
        <v>SpareOfferB18</v>
      </c>
      <c r="D193" t="s">
        <v>170</v>
      </c>
      <c r="F193" s="148">
        <f t="shared" si="20"/>
        <v>0</v>
      </c>
    </row>
    <row r="194" spans="3:6" hidden="1" outlineLevel="2">
      <c r="C194" s="73" t="str">
        <v>SpareOfferB19</v>
      </c>
      <c r="D194" t="s">
        <v>170</v>
      </c>
      <c r="F194" s="148">
        <f t="shared" si="20"/>
        <v>0</v>
      </c>
    </row>
    <row r="195" spans="3:6" hidden="1" outlineLevel="2">
      <c r="C195" s="73" t="str">
        <v>SpareOfferB20</v>
      </c>
      <c r="D195" t="s">
        <v>170</v>
      </c>
      <c r="F195" s="148">
        <f t="shared" si="20"/>
        <v>0</v>
      </c>
    </row>
    <row r="196" spans="3:6" hidden="1" outlineLevel="2">
      <c r="C196" s="73" t="str">
        <v>SpareOfferB21</v>
      </c>
      <c r="D196" t="s">
        <v>170</v>
      </c>
      <c r="F196" s="148">
        <f t="shared" si="20"/>
        <v>0</v>
      </c>
    </row>
    <row r="197" spans="3:6" hidden="1" outlineLevel="2">
      <c r="C197" s="73" t="str">
        <v>SpareOfferB22</v>
      </c>
      <c r="D197" t="s">
        <v>170</v>
      </c>
      <c r="F197" s="148">
        <f t="shared" si="20"/>
        <v>0</v>
      </c>
    </row>
    <row r="198" spans="3:6" hidden="1" outlineLevel="2">
      <c r="C198" s="73" t="str">
        <v>SpareOfferB23</v>
      </c>
      <c r="D198" t="s">
        <v>170</v>
      </c>
      <c r="F198" s="148">
        <f t="shared" si="20"/>
        <v>0</v>
      </c>
    </row>
    <row r="199" spans="3:6" hidden="1" outlineLevel="2">
      <c r="C199" s="73" t="str">
        <v>SpareOfferB24</v>
      </c>
      <c r="D199" t="s">
        <v>170</v>
      </c>
      <c r="F199" s="148">
        <f t="shared" si="20"/>
        <v>0</v>
      </c>
    </row>
    <row r="200" spans="3:6" hidden="1" outlineLevel="2">
      <c r="C200" s="73" t="str">
        <v>SpareOfferB25</v>
      </c>
      <c r="D200" t="s">
        <v>170</v>
      </c>
      <c r="F200" s="148">
        <f t="shared" si="20"/>
        <v>0</v>
      </c>
    </row>
    <row r="201" spans="3:6" hidden="1" outlineLevel="2">
      <c r="C201" s="73" t="str">
        <v>SpareOfferB26</v>
      </c>
      <c r="D201" t="s">
        <v>170</v>
      </c>
      <c r="F201" s="148">
        <f t="shared" si="20"/>
        <v>0</v>
      </c>
    </row>
    <row r="202" spans="3:6" hidden="1" outlineLevel="2">
      <c r="C202" s="73" t="str">
        <v>SpareOfferB27</v>
      </c>
      <c r="D202" t="s">
        <v>170</v>
      </c>
      <c r="F202" s="148">
        <f t="shared" si="20"/>
        <v>0</v>
      </c>
    </row>
    <row r="203" spans="3:6" hidden="1" outlineLevel="2">
      <c r="C203" s="73" t="str">
        <v>SpareOfferB28</v>
      </c>
      <c r="D203" t="s">
        <v>170</v>
      </c>
      <c r="F203" s="148">
        <f t="shared" si="20"/>
        <v>0</v>
      </c>
    </row>
    <row r="204" spans="3:6" hidden="1" outlineLevel="2">
      <c r="C204" s="73" t="str">
        <v>SpareOfferB29</v>
      </c>
      <c r="D204" t="s">
        <v>170</v>
      </c>
      <c r="F204" s="148">
        <f t="shared" si="20"/>
        <v>0</v>
      </c>
    </row>
    <row r="205" spans="3:6" hidden="1" outlineLevel="2">
      <c r="C205" s="73" t="str">
        <v>SpareOfferB30</v>
      </c>
      <c r="D205" t="s">
        <v>170</v>
      </c>
      <c r="F205" s="148">
        <f t="shared" si="20"/>
        <v>0</v>
      </c>
    </row>
    <row r="206" spans="3:6" hidden="1" outlineLevel="2">
      <c r="C206" s="73" t="str">
        <v>SpareOfferB31</v>
      </c>
      <c r="D206" t="s">
        <v>170</v>
      </c>
      <c r="F206" s="148">
        <f t="shared" si="20"/>
        <v>0</v>
      </c>
    </row>
    <row r="207" spans="3:6" hidden="1" outlineLevel="2">
      <c r="C207" s="73" t="str">
        <v>SpareOfferB32</v>
      </c>
      <c r="D207" t="s">
        <v>170</v>
      </c>
      <c r="F207" s="148">
        <f t="shared" si="20"/>
        <v>0</v>
      </c>
    </row>
    <row r="208" spans="3:6" hidden="1" outlineLevel="2">
      <c r="C208" s="73" t="str">
        <v>SpareOfferB33</v>
      </c>
      <c r="D208" t="s">
        <v>170</v>
      </c>
      <c r="F208" s="148">
        <f t="shared" si="20"/>
        <v>0</v>
      </c>
    </row>
    <row r="209" spans="2:10" hidden="1" outlineLevel="2">
      <c r="C209" s="73" t="str">
        <v>SpareOfferB34</v>
      </c>
      <c r="D209" t="s">
        <v>170</v>
      </c>
      <c r="F209" s="148">
        <f t="shared" si="20"/>
        <v>0</v>
      </c>
    </row>
    <row r="210" spans="2:10" outlineLevel="1" collapsed="1">
      <c r="C210" s="73" t="str">
        <v>SpareOfferB35</v>
      </c>
      <c r="D210" t="s">
        <v>170</v>
      </c>
      <c r="F210" s="148">
        <f t="shared" si="20"/>
        <v>0</v>
      </c>
    </row>
    <row r="211" spans="2:10" ht="12" outlineLevel="1">
      <c r="F211" s="43" t="s">
        <v>256</v>
      </c>
    </row>
    <row r="212" spans="2:10" outlineLevel="1"/>
    <row r="213" spans="2:10" outlineLevel="1">
      <c r="B213" s="91" t="s">
        <v>311</v>
      </c>
      <c r="H213" s="165" t="s">
        <v>276</v>
      </c>
      <c r="I213" s="165"/>
      <c r="J213" s="165"/>
    </row>
    <row r="214" spans="2:10" ht="23" outlineLevel="1">
      <c r="F214" s="1" t="s">
        <v>171</v>
      </c>
      <c r="H214" s="1" t="str">
        <f t="array" ref="H214:J214">options.selected.monthly</f>
        <v>Recurring</v>
      </c>
      <c r="I214" s="1" t="str">
        <v>Other fees</v>
      </c>
      <c r="J214" s="1" t="str">
        <v>Breach of lock-in</v>
      </c>
    </row>
    <row r="215" spans="2:10" outlineLevel="1">
      <c r="C215" s="1" t="s">
        <v>309</v>
      </c>
      <c r="D215" t="s">
        <v>170</v>
      </c>
      <c r="F215" s="146">
        <f>SUMPRODUCT(subscription.split.segment.2,F216:F250)</f>
        <v>0</v>
      </c>
      <c r="H215" s="146">
        <f>SUMPRODUCT(subscription.split.segment.2,H216:H250)</f>
        <v>0</v>
      </c>
      <c r="I215" s="146">
        <f>SUMPRODUCT(subscription.split.segment.2,I216:I250)</f>
        <v>0</v>
      </c>
      <c r="J215" s="146">
        <f>SUMPRODUCT(subscription.split.segment.2,J216:J250)</f>
        <v>0</v>
      </c>
    </row>
    <row r="216" spans="2:10" outlineLevel="1">
      <c r="B216">
        <f t="shared" ref="B216:B250" si="21">MATCH(C216,offers.segment.all,0)</f>
        <v>36</v>
      </c>
      <c r="C216" s="73" t="str">
        <f t="array" ref="C216:C250">offers.segment.2</f>
        <v>SpareOfferB1</v>
      </c>
      <c r="D216" t="s">
        <v>170</v>
      </c>
      <c r="F216" s="224">
        <f>SUM(H216:J216)</f>
        <v>0</v>
      </c>
      <c r="H216" s="145">
        <f t="shared" ref="H216:J235" si="22">INDEX(per.sub.revenues.by.revenues.descriptions,$B216,MATCH(H$214,revenue.descriptions.short,0))</f>
        <v>0</v>
      </c>
      <c r="I216" s="145">
        <f t="shared" si="22"/>
        <v>0</v>
      </c>
      <c r="J216" s="145">
        <f t="shared" si="22"/>
        <v>0</v>
      </c>
    </row>
    <row r="217" spans="2:10" hidden="1" outlineLevel="2">
      <c r="B217">
        <f t="shared" si="21"/>
        <v>37</v>
      </c>
      <c r="C217" s="73" t="str">
        <v>SpareOfferB2</v>
      </c>
      <c r="D217" t="s">
        <v>170</v>
      </c>
      <c r="F217" s="224">
        <f t="shared" ref="F217:F250" si="23">SUM(H217:J217)</f>
        <v>0</v>
      </c>
      <c r="H217" s="145">
        <f t="shared" si="22"/>
        <v>0</v>
      </c>
      <c r="I217" s="145">
        <f t="shared" si="22"/>
        <v>0</v>
      </c>
      <c r="J217" s="145">
        <f t="shared" si="22"/>
        <v>0</v>
      </c>
    </row>
    <row r="218" spans="2:10" hidden="1" outlineLevel="2">
      <c r="B218">
        <f t="shared" si="21"/>
        <v>38</v>
      </c>
      <c r="C218" s="73" t="str">
        <v>SpareOfferB3</v>
      </c>
      <c r="D218" t="s">
        <v>170</v>
      </c>
      <c r="F218" s="224">
        <f t="shared" si="23"/>
        <v>0</v>
      </c>
      <c r="H218" s="145">
        <f t="shared" si="22"/>
        <v>0</v>
      </c>
      <c r="I218" s="145">
        <f t="shared" si="22"/>
        <v>0</v>
      </c>
      <c r="J218" s="145">
        <f t="shared" si="22"/>
        <v>0</v>
      </c>
    </row>
    <row r="219" spans="2:10" hidden="1" outlineLevel="2">
      <c r="B219">
        <f t="shared" si="21"/>
        <v>39</v>
      </c>
      <c r="C219" s="73" t="str">
        <v>SpareOfferB4</v>
      </c>
      <c r="D219" t="s">
        <v>170</v>
      </c>
      <c r="F219" s="224">
        <f t="shared" si="23"/>
        <v>0</v>
      </c>
      <c r="H219" s="145">
        <f t="shared" si="22"/>
        <v>0</v>
      </c>
      <c r="I219" s="145">
        <f t="shared" si="22"/>
        <v>0</v>
      </c>
      <c r="J219" s="145">
        <f t="shared" si="22"/>
        <v>0</v>
      </c>
    </row>
    <row r="220" spans="2:10" hidden="1" outlineLevel="2">
      <c r="B220">
        <f t="shared" si="21"/>
        <v>40</v>
      </c>
      <c r="C220" s="73" t="str">
        <v>SpareOfferB5</v>
      </c>
      <c r="D220" t="s">
        <v>170</v>
      </c>
      <c r="F220" s="224">
        <f t="shared" si="23"/>
        <v>0</v>
      </c>
      <c r="H220" s="145">
        <f t="shared" si="22"/>
        <v>0</v>
      </c>
      <c r="I220" s="145">
        <f t="shared" si="22"/>
        <v>0</v>
      </c>
      <c r="J220" s="145">
        <f t="shared" si="22"/>
        <v>0</v>
      </c>
    </row>
    <row r="221" spans="2:10" hidden="1" outlineLevel="2">
      <c r="B221">
        <f t="shared" si="21"/>
        <v>41</v>
      </c>
      <c r="C221" s="73" t="str">
        <v>SpareOfferB6</v>
      </c>
      <c r="D221" t="s">
        <v>170</v>
      </c>
      <c r="F221" s="224">
        <f t="shared" si="23"/>
        <v>0</v>
      </c>
      <c r="H221" s="145">
        <f t="shared" si="22"/>
        <v>0</v>
      </c>
      <c r="I221" s="145">
        <f t="shared" si="22"/>
        <v>0</v>
      </c>
      <c r="J221" s="145">
        <f t="shared" si="22"/>
        <v>0</v>
      </c>
    </row>
    <row r="222" spans="2:10" hidden="1" outlineLevel="2">
      <c r="B222">
        <f t="shared" si="21"/>
        <v>42</v>
      </c>
      <c r="C222" s="73" t="str">
        <v>SpareOfferB7</v>
      </c>
      <c r="D222" t="s">
        <v>170</v>
      </c>
      <c r="F222" s="224">
        <f t="shared" si="23"/>
        <v>0</v>
      </c>
      <c r="H222" s="145">
        <f t="shared" si="22"/>
        <v>0</v>
      </c>
      <c r="I222" s="145">
        <f t="shared" si="22"/>
        <v>0</v>
      </c>
      <c r="J222" s="145">
        <f t="shared" si="22"/>
        <v>0</v>
      </c>
    </row>
    <row r="223" spans="2:10" hidden="1" outlineLevel="2">
      <c r="B223">
        <f t="shared" si="21"/>
        <v>43</v>
      </c>
      <c r="C223" s="73" t="str">
        <v>SpareOfferB8</v>
      </c>
      <c r="D223" t="s">
        <v>170</v>
      </c>
      <c r="F223" s="224">
        <f t="shared" si="23"/>
        <v>0</v>
      </c>
      <c r="H223" s="145">
        <f t="shared" si="22"/>
        <v>0</v>
      </c>
      <c r="I223" s="145">
        <f t="shared" si="22"/>
        <v>0</v>
      </c>
      <c r="J223" s="145">
        <f t="shared" si="22"/>
        <v>0</v>
      </c>
    </row>
    <row r="224" spans="2:10" hidden="1" outlineLevel="2">
      <c r="B224">
        <f t="shared" si="21"/>
        <v>44</v>
      </c>
      <c r="C224" s="73" t="str">
        <v>SpareOfferB9</v>
      </c>
      <c r="D224" t="s">
        <v>170</v>
      </c>
      <c r="F224" s="224">
        <f t="shared" si="23"/>
        <v>0</v>
      </c>
      <c r="H224" s="145">
        <f t="shared" si="22"/>
        <v>0</v>
      </c>
      <c r="I224" s="145">
        <f t="shared" si="22"/>
        <v>0</v>
      </c>
      <c r="J224" s="145">
        <f t="shared" si="22"/>
        <v>0</v>
      </c>
    </row>
    <row r="225" spans="2:10" hidden="1" outlineLevel="2">
      <c r="B225">
        <f t="shared" si="21"/>
        <v>45</v>
      </c>
      <c r="C225" s="73" t="str">
        <v>SpareOfferB10</v>
      </c>
      <c r="D225" t="s">
        <v>170</v>
      </c>
      <c r="F225" s="224">
        <f t="shared" si="23"/>
        <v>0</v>
      </c>
      <c r="H225" s="145">
        <f t="shared" si="22"/>
        <v>0</v>
      </c>
      <c r="I225" s="145">
        <f t="shared" si="22"/>
        <v>0</v>
      </c>
      <c r="J225" s="145">
        <f t="shared" si="22"/>
        <v>0</v>
      </c>
    </row>
    <row r="226" spans="2:10" hidden="1" outlineLevel="2">
      <c r="B226">
        <f t="shared" si="21"/>
        <v>46</v>
      </c>
      <c r="C226" s="73" t="str">
        <v>SpareOfferB11</v>
      </c>
      <c r="D226" t="s">
        <v>170</v>
      </c>
      <c r="F226" s="224">
        <f t="shared" si="23"/>
        <v>0</v>
      </c>
      <c r="H226" s="145">
        <f t="shared" si="22"/>
        <v>0</v>
      </c>
      <c r="I226" s="145">
        <f t="shared" si="22"/>
        <v>0</v>
      </c>
      <c r="J226" s="145">
        <f t="shared" si="22"/>
        <v>0</v>
      </c>
    </row>
    <row r="227" spans="2:10" hidden="1" outlineLevel="2">
      <c r="B227">
        <f t="shared" si="21"/>
        <v>47</v>
      </c>
      <c r="C227" s="73" t="str">
        <v>SpareOfferB12</v>
      </c>
      <c r="D227" t="s">
        <v>170</v>
      </c>
      <c r="F227" s="224">
        <f t="shared" si="23"/>
        <v>0</v>
      </c>
      <c r="H227" s="145">
        <f t="shared" si="22"/>
        <v>0</v>
      </c>
      <c r="I227" s="145">
        <f t="shared" si="22"/>
        <v>0</v>
      </c>
      <c r="J227" s="145">
        <f t="shared" si="22"/>
        <v>0</v>
      </c>
    </row>
    <row r="228" spans="2:10" hidden="1" outlineLevel="2">
      <c r="B228">
        <f t="shared" si="21"/>
        <v>48</v>
      </c>
      <c r="C228" s="73" t="str">
        <v>SpareOfferB13</v>
      </c>
      <c r="D228" t="s">
        <v>170</v>
      </c>
      <c r="F228" s="224">
        <f t="shared" si="23"/>
        <v>0</v>
      </c>
      <c r="H228" s="145">
        <f t="shared" si="22"/>
        <v>0</v>
      </c>
      <c r="I228" s="145">
        <f t="shared" si="22"/>
        <v>0</v>
      </c>
      <c r="J228" s="145">
        <f t="shared" si="22"/>
        <v>0</v>
      </c>
    </row>
    <row r="229" spans="2:10" hidden="1" outlineLevel="2">
      <c r="B229">
        <f t="shared" si="21"/>
        <v>49</v>
      </c>
      <c r="C229" s="73" t="str">
        <v>SpareOfferB14</v>
      </c>
      <c r="D229" t="s">
        <v>170</v>
      </c>
      <c r="F229" s="224">
        <f t="shared" si="23"/>
        <v>0</v>
      </c>
      <c r="H229" s="145">
        <f t="shared" si="22"/>
        <v>0</v>
      </c>
      <c r="I229" s="145">
        <f t="shared" si="22"/>
        <v>0</v>
      </c>
      <c r="J229" s="145">
        <f t="shared" si="22"/>
        <v>0</v>
      </c>
    </row>
    <row r="230" spans="2:10" hidden="1" outlineLevel="2">
      <c r="B230">
        <f t="shared" si="21"/>
        <v>50</v>
      </c>
      <c r="C230" s="73" t="str">
        <v>SpareOfferB15</v>
      </c>
      <c r="D230" t="s">
        <v>170</v>
      </c>
      <c r="F230" s="224">
        <f t="shared" si="23"/>
        <v>0</v>
      </c>
      <c r="H230" s="145">
        <f t="shared" si="22"/>
        <v>0</v>
      </c>
      <c r="I230" s="145">
        <f t="shared" si="22"/>
        <v>0</v>
      </c>
      <c r="J230" s="145">
        <f t="shared" si="22"/>
        <v>0</v>
      </c>
    </row>
    <row r="231" spans="2:10" hidden="1" outlineLevel="2">
      <c r="B231">
        <f t="shared" si="21"/>
        <v>51</v>
      </c>
      <c r="C231" s="73" t="str">
        <v>SpareOfferB16</v>
      </c>
      <c r="D231" t="s">
        <v>170</v>
      </c>
      <c r="F231" s="224">
        <f t="shared" si="23"/>
        <v>0</v>
      </c>
      <c r="H231" s="145">
        <f t="shared" si="22"/>
        <v>0</v>
      </c>
      <c r="I231" s="145">
        <f t="shared" si="22"/>
        <v>0</v>
      </c>
      <c r="J231" s="145">
        <f t="shared" si="22"/>
        <v>0</v>
      </c>
    </row>
    <row r="232" spans="2:10" hidden="1" outlineLevel="2">
      <c r="B232">
        <f t="shared" si="21"/>
        <v>52</v>
      </c>
      <c r="C232" s="73" t="str">
        <v>SpareOfferB17</v>
      </c>
      <c r="D232" t="s">
        <v>170</v>
      </c>
      <c r="F232" s="224">
        <f t="shared" si="23"/>
        <v>0</v>
      </c>
      <c r="H232" s="145">
        <f t="shared" si="22"/>
        <v>0</v>
      </c>
      <c r="I232" s="145">
        <f t="shared" si="22"/>
        <v>0</v>
      </c>
      <c r="J232" s="145">
        <f t="shared" si="22"/>
        <v>0</v>
      </c>
    </row>
    <row r="233" spans="2:10" hidden="1" outlineLevel="2">
      <c r="B233">
        <f t="shared" si="21"/>
        <v>53</v>
      </c>
      <c r="C233" s="73" t="str">
        <v>SpareOfferB18</v>
      </c>
      <c r="D233" t="s">
        <v>170</v>
      </c>
      <c r="F233" s="224">
        <f t="shared" si="23"/>
        <v>0</v>
      </c>
      <c r="H233" s="145">
        <f t="shared" si="22"/>
        <v>0</v>
      </c>
      <c r="I233" s="145">
        <f t="shared" si="22"/>
        <v>0</v>
      </c>
      <c r="J233" s="145">
        <f t="shared" si="22"/>
        <v>0</v>
      </c>
    </row>
    <row r="234" spans="2:10" hidden="1" outlineLevel="2">
      <c r="B234">
        <f t="shared" si="21"/>
        <v>54</v>
      </c>
      <c r="C234" s="73" t="str">
        <v>SpareOfferB19</v>
      </c>
      <c r="D234" t="s">
        <v>170</v>
      </c>
      <c r="F234" s="224">
        <f t="shared" si="23"/>
        <v>0</v>
      </c>
      <c r="H234" s="145">
        <f t="shared" si="22"/>
        <v>0</v>
      </c>
      <c r="I234" s="145">
        <f t="shared" si="22"/>
        <v>0</v>
      </c>
      <c r="J234" s="145">
        <f t="shared" si="22"/>
        <v>0</v>
      </c>
    </row>
    <row r="235" spans="2:10" hidden="1" outlineLevel="2">
      <c r="B235">
        <f t="shared" si="21"/>
        <v>55</v>
      </c>
      <c r="C235" s="73" t="str">
        <v>SpareOfferB20</v>
      </c>
      <c r="D235" t="s">
        <v>170</v>
      </c>
      <c r="F235" s="224">
        <f t="shared" si="23"/>
        <v>0</v>
      </c>
      <c r="H235" s="145">
        <f t="shared" si="22"/>
        <v>0</v>
      </c>
      <c r="I235" s="145">
        <f t="shared" si="22"/>
        <v>0</v>
      </c>
      <c r="J235" s="145">
        <f t="shared" si="22"/>
        <v>0</v>
      </c>
    </row>
    <row r="236" spans="2:10" hidden="1" outlineLevel="2">
      <c r="B236">
        <f t="shared" si="21"/>
        <v>56</v>
      </c>
      <c r="C236" s="73" t="str">
        <v>SpareOfferB21</v>
      </c>
      <c r="D236" t="s">
        <v>170</v>
      </c>
      <c r="F236" s="224">
        <f t="shared" si="23"/>
        <v>0</v>
      </c>
      <c r="H236" s="145">
        <f t="shared" ref="H236:J250" si="24">INDEX(per.sub.revenues.by.revenues.descriptions,$B236,MATCH(H$214,revenue.descriptions.short,0))</f>
        <v>0</v>
      </c>
      <c r="I236" s="145">
        <f t="shared" si="24"/>
        <v>0</v>
      </c>
      <c r="J236" s="145">
        <f t="shared" si="24"/>
        <v>0</v>
      </c>
    </row>
    <row r="237" spans="2:10" hidden="1" outlineLevel="2">
      <c r="B237">
        <f t="shared" si="21"/>
        <v>57</v>
      </c>
      <c r="C237" s="73" t="str">
        <v>SpareOfferB22</v>
      </c>
      <c r="D237" t="s">
        <v>170</v>
      </c>
      <c r="F237" s="224">
        <f t="shared" si="23"/>
        <v>0</v>
      </c>
      <c r="H237" s="145">
        <f t="shared" si="24"/>
        <v>0</v>
      </c>
      <c r="I237" s="145">
        <f t="shared" si="24"/>
        <v>0</v>
      </c>
      <c r="J237" s="145">
        <f t="shared" si="24"/>
        <v>0</v>
      </c>
    </row>
    <row r="238" spans="2:10" hidden="1" outlineLevel="2">
      <c r="B238">
        <f t="shared" si="21"/>
        <v>58</v>
      </c>
      <c r="C238" s="73" t="str">
        <v>SpareOfferB23</v>
      </c>
      <c r="D238" t="s">
        <v>170</v>
      </c>
      <c r="F238" s="224">
        <f t="shared" si="23"/>
        <v>0</v>
      </c>
      <c r="H238" s="145">
        <f t="shared" si="24"/>
        <v>0</v>
      </c>
      <c r="I238" s="145">
        <f t="shared" si="24"/>
        <v>0</v>
      </c>
      <c r="J238" s="145">
        <f t="shared" si="24"/>
        <v>0</v>
      </c>
    </row>
    <row r="239" spans="2:10" hidden="1" outlineLevel="2">
      <c r="B239">
        <f t="shared" si="21"/>
        <v>59</v>
      </c>
      <c r="C239" s="73" t="str">
        <v>SpareOfferB24</v>
      </c>
      <c r="D239" t="s">
        <v>170</v>
      </c>
      <c r="F239" s="224">
        <f t="shared" si="23"/>
        <v>0</v>
      </c>
      <c r="H239" s="145">
        <f t="shared" si="24"/>
        <v>0</v>
      </c>
      <c r="I239" s="145">
        <f t="shared" si="24"/>
        <v>0</v>
      </c>
      <c r="J239" s="145">
        <f t="shared" si="24"/>
        <v>0</v>
      </c>
    </row>
    <row r="240" spans="2:10" hidden="1" outlineLevel="2">
      <c r="B240">
        <f t="shared" si="21"/>
        <v>60</v>
      </c>
      <c r="C240" s="73" t="str">
        <v>SpareOfferB25</v>
      </c>
      <c r="D240" t="s">
        <v>170</v>
      </c>
      <c r="F240" s="224">
        <f t="shared" si="23"/>
        <v>0</v>
      </c>
      <c r="H240" s="145">
        <f t="shared" si="24"/>
        <v>0</v>
      </c>
      <c r="I240" s="145">
        <f t="shared" si="24"/>
        <v>0</v>
      </c>
      <c r="J240" s="145">
        <f t="shared" si="24"/>
        <v>0</v>
      </c>
    </row>
    <row r="241" spans="2:21" hidden="1" outlineLevel="2">
      <c r="B241">
        <f t="shared" si="21"/>
        <v>61</v>
      </c>
      <c r="C241" s="73" t="str">
        <v>SpareOfferB26</v>
      </c>
      <c r="D241" t="s">
        <v>170</v>
      </c>
      <c r="F241" s="224">
        <f t="shared" si="23"/>
        <v>0</v>
      </c>
      <c r="H241" s="145">
        <f t="shared" si="24"/>
        <v>0</v>
      </c>
      <c r="I241" s="145">
        <f t="shared" si="24"/>
        <v>0</v>
      </c>
      <c r="J241" s="145">
        <f t="shared" si="24"/>
        <v>0</v>
      </c>
    </row>
    <row r="242" spans="2:21" hidden="1" outlineLevel="2">
      <c r="B242">
        <f t="shared" si="21"/>
        <v>62</v>
      </c>
      <c r="C242" s="73" t="str">
        <v>SpareOfferB27</v>
      </c>
      <c r="D242" t="s">
        <v>170</v>
      </c>
      <c r="F242" s="224">
        <f t="shared" si="23"/>
        <v>0</v>
      </c>
      <c r="H242" s="145">
        <f t="shared" si="24"/>
        <v>0</v>
      </c>
      <c r="I242" s="145">
        <f t="shared" si="24"/>
        <v>0</v>
      </c>
      <c r="J242" s="145">
        <f t="shared" si="24"/>
        <v>0</v>
      </c>
    </row>
    <row r="243" spans="2:21" hidden="1" outlineLevel="2">
      <c r="B243">
        <f t="shared" si="21"/>
        <v>63</v>
      </c>
      <c r="C243" s="73" t="str">
        <v>SpareOfferB28</v>
      </c>
      <c r="D243" t="s">
        <v>170</v>
      </c>
      <c r="F243" s="224">
        <f t="shared" si="23"/>
        <v>0</v>
      </c>
      <c r="H243" s="145">
        <f t="shared" si="24"/>
        <v>0</v>
      </c>
      <c r="I243" s="145">
        <f t="shared" si="24"/>
        <v>0</v>
      </c>
      <c r="J243" s="145">
        <f t="shared" si="24"/>
        <v>0</v>
      </c>
    </row>
    <row r="244" spans="2:21" hidden="1" outlineLevel="2">
      <c r="B244">
        <f t="shared" si="21"/>
        <v>64</v>
      </c>
      <c r="C244" s="73" t="str">
        <v>SpareOfferB29</v>
      </c>
      <c r="D244" t="s">
        <v>170</v>
      </c>
      <c r="F244" s="224">
        <f t="shared" si="23"/>
        <v>0</v>
      </c>
      <c r="H244" s="145">
        <f t="shared" si="24"/>
        <v>0</v>
      </c>
      <c r="I244" s="145">
        <f t="shared" si="24"/>
        <v>0</v>
      </c>
      <c r="J244" s="145">
        <f t="shared" si="24"/>
        <v>0</v>
      </c>
    </row>
    <row r="245" spans="2:21" hidden="1" outlineLevel="2">
      <c r="B245">
        <f t="shared" si="21"/>
        <v>65</v>
      </c>
      <c r="C245" s="73" t="str">
        <v>SpareOfferB30</v>
      </c>
      <c r="D245" t="s">
        <v>170</v>
      </c>
      <c r="F245" s="224">
        <f t="shared" si="23"/>
        <v>0</v>
      </c>
      <c r="H245" s="145">
        <f t="shared" si="24"/>
        <v>0</v>
      </c>
      <c r="I245" s="145">
        <f t="shared" si="24"/>
        <v>0</v>
      </c>
      <c r="J245" s="145">
        <f t="shared" si="24"/>
        <v>0</v>
      </c>
    </row>
    <row r="246" spans="2:21" hidden="1" outlineLevel="2">
      <c r="B246">
        <f t="shared" si="21"/>
        <v>66</v>
      </c>
      <c r="C246" s="73" t="str">
        <v>SpareOfferB31</v>
      </c>
      <c r="D246" t="s">
        <v>170</v>
      </c>
      <c r="F246" s="224">
        <f t="shared" si="23"/>
        <v>0</v>
      </c>
      <c r="H246" s="145">
        <f t="shared" si="24"/>
        <v>0</v>
      </c>
      <c r="I246" s="145">
        <f t="shared" si="24"/>
        <v>0</v>
      </c>
      <c r="J246" s="145">
        <f t="shared" si="24"/>
        <v>0</v>
      </c>
    </row>
    <row r="247" spans="2:21" hidden="1" outlineLevel="2">
      <c r="B247">
        <f t="shared" si="21"/>
        <v>67</v>
      </c>
      <c r="C247" s="73" t="str">
        <v>SpareOfferB32</v>
      </c>
      <c r="D247" t="s">
        <v>170</v>
      </c>
      <c r="F247" s="224">
        <f t="shared" si="23"/>
        <v>0</v>
      </c>
      <c r="H247" s="145">
        <f t="shared" si="24"/>
        <v>0</v>
      </c>
      <c r="I247" s="145">
        <f t="shared" si="24"/>
        <v>0</v>
      </c>
      <c r="J247" s="145">
        <f t="shared" si="24"/>
        <v>0</v>
      </c>
    </row>
    <row r="248" spans="2:21" hidden="1" outlineLevel="2">
      <c r="B248">
        <f t="shared" si="21"/>
        <v>68</v>
      </c>
      <c r="C248" s="73" t="str">
        <v>SpareOfferB33</v>
      </c>
      <c r="D248" t="s">
        <v>170</v>
      </c>
      <c r="F248" s="224">
        <f t="shared" si="23"/>
        <v>0</v>
      </c>
      <c r="H248" s="145">
        <f t="shared" si="24"/>
        <v>0</v>
      </c>
      <c r="I248" s="145">
        <f t="shared" si="24"/>
        <v>0</v>
      </c>
      <c r="J248" s="145">
        <f t="shared" si="24"/>
        <v>0</v>
      </c>
    </row>
    <row r="249" spans="2:21" hidden="1" outlineLevel="2">
      <c r="B249">
        <f t="shared" si="21"/>
        <v>69</v>
      </c>
      <c r="C249" s="73" t="str">
        <v>SpareOfferB34</v>
      </c>
      <c r="D249" t="s">
        <v>170</v>
      </c>
      <c r="F249" s="224">
        <f t="shared" si="23"/>
        <v>0</v>
      </c>
      <c r="H249" s="145">
        <f t="shared" si="24"/>
        <v>0</v>
      </c>
      <c r="I249" s="145">
        <f t="shared" si="24"/>
        <v>0</v>
      </c>
      <c r="J249" s="145">
        <f t="shared" si="24"/>
        <v>0</v>
      </c>
    </row>
    <row r="250" spans="2:21" outlineLevel="1" collapsed="1">
      <c r="B250">
        <f t="shared" si="21"/>
        <v>70</v>
      </c>
      <c r="C250" s="73" t="str">
        <v>SpareOfferB35</v>
      </c>
      <c r="D250" t="s">
        <v>170</v>
      </c>
      <c r="F250" s="224">
        <f t="shared" si="23"/>
        <v>0</v>
      </c>
      <c r="H250" s="145">
        <f t="shared" si="24"/>
        <v>0</v>
      </c>
      <c r="I250" s="145">
        <f t="shared" si="24"/>
        <v>0</v>
      </c>
      <c r="J250" s="145">
        <f t="shared" si="24"/>
        <v>0</v>
      </c>
    </row>
    <row r="251" spans="2:21" outlineLevel="1"/>
    <row r="252" spans="2:21" outlineLevel="1">
      <c r="B252" s="91" t="s">
        <v>215</v>
      </c>
      <c r="H252" s="66" t="s">
        <v>368</v>
      </c>
      <c r="I252" s="66"/>
      <c r="J252" s="66"/>
      <c r="K252" s="66"/>
      <c r="L252" s="66"/>
      <c r="M252" s="66"/>
      <c r="O252" s="66" t="s">
        <v>161</v>
      </c>
      <c r="P252" s="66"/>
      <c r="Q252" s="66"/>
      <c r="S252" s="165" t="s">
        <v>192</v>
      </c>
      <c r="T252" s="165"/>
      <c r="U252" s="165"/>
    </row>
    <row r="253" spans="2:21" ht="23" outlineLevel="1">
      <c r="F253" s="1" t="s">
        <v>171</v>
      </c>
      <c r="H253" s="95" t="str">
        <f t="array" ref="H253:M253">options.selected.basic</f>
        <v>National voice</v>
      </c>
      <c r="I253" s="95" t="str">
        <v>International voice</v>
      </c>
      <c r="J253" s="95" t="str">
        <v>National SMS</v>
      </c>
      <c r="K253" s="95" t="str">
        <v>International SMS</v>
      </c>
      <c r="L253" s="95" t="str">
        <v>National data</v>
      </c>
      <c r="M253" s="95" t="str">
        <v>Spare 1</v>
      </c>
      <c r="O253" s="95" t="str">
        <f t="array" ref="O253:Q253">options.selected.VAS</f>
        <v>VAS minutes</v>
      </c>
      <c r="P253" s="95" t="str">
        <v>VAS BankID</v>
      </c>
      <c r="Q253" s="95" t="str">
        <v>Other VAS messages</v>
      </c>
      <c r="S253" s="95" t="str">
        <f t="array" ref="S253:U253">options.selected.roaming</f>
        <v>Roaming voice</v>
      </c>
      <c r="T253" s="95" t="str">
        <v>Roaming messages</v>
      </c>
      <c r="U253" s="95" t="str">
        <v>Roaming data</v>
      </c>
    </row>
    <row r="254" spans="2:21" outlineLevel="1">
      <c r="C254" s="1" t="s">
        <v>309</v>
      </c>
      <c r="D254" t="s">
        <v>170</v>
      </c>
      <c r="F254" s="146">
        <f>SUMPRODUCT(subscription.split.segment.2,F255:F289)</f>
        <v>0</v>
      </c>
      <c r="H254" s="146">
        <f t="shared" ref="H254:M254" si="25">SUMPRODUCT(subscription.split.segment.2,H255:H289)</f>
        <v>0</v>
      </c>
      <c r="I254" s="146">
        <f t="shared" si="25"/>
        <v>0</v>
      </c>
      <c r="J254" s="146">
        <f t="shared" si="25"/>
        <v>0</v>
      </c>
      <c r="K254" s="146">
        <f t="shared" si="25"/>
        <v>0</v>
      </c>
      <c r="L254" s="146">
        <f t="shared" si="25"/>
        <v>0</v>
      </c>
      <c r="M254" s="146">
        <f t="shared" si="25"/>
        <v>0</v>
      </c>
      <c r="O254" s="146">
        <f>SUMPRODUCT(subscription.split.segment.2,O255:O289)</f>
        <v>0</v>
      </c>
      <c r="P254" s="146">
        <f>SUMPRODUCT(subscription.split.segment.2,P255:P289)</f>
        <v>0</v>
      </c>
      <c r="Q254" s="146">
        <f>SUMPRODUCT(subscription.split.segment.2,Q255:Q289)</f>
        <v>0</v>
      </c>
      <c r="S254" s="146">
        <f>SUMPRODUCT(subscription.split.segment.2,S255:S289)</f>
        <v>0</v>
      </c>
      <c r="T254" s="146">
        <f>SUMPRODUCT(subscription.split.segment.2,T255:T289)</f>
        <v>0</v>
      </c>
      <c r="U254" s="146">
        <f>SUMPRODUCT(subscription.split.segment.2,U255:U289)</f>
        <v>0</v>
      </c>
    </row>
    <row r="255" spans="2:21" outlineLevel="1">
      <c r="B255">
        <f t="shared" ref="B255:B289" si="26">MATCH(C255,offers.segment.all,0)</f>
        <v>36</v>
      </c>
      <c r="C255" s="73" t="str">
        <f t="array" ref="C255:C289">offers.segment.2</f>
        <v>SpareOfferB1</v>
      </c>
      <c r="D255" t="s">
        <v>170</v>
      </c>
      <c r="F255" s="225">
        <f>SUM(H255:M255)+SUM(O255:Q255)+SUM(S255:U255)</f>
        <v>0</v>
      </c>
      <c r="H255" s="145">
        <f t="shared" ref="H255:M264" si="27">INDEX(per.sub.revenues.by.revenues.descriptions,$B255,MATCH(H$253,revenue.descriptions.short,0))</f>
        <v>0</v>
      </c>
      <c r="I255" s="145">
        <f t="shared" si="27"/>
        <v>0</v>
      </c>
      <c r="J255" s="145">
        <f t="shared" si="27"/>
        <v>0</v>
      </c>
      <c r="K255" s="145">
        <f t="shared" si="27"/>
        <v>0</v>
      </c>
      <c r="L255" s="145">
        <f t="shared" si="27"/>
        <v>0</v>
      </c>
      <c r="M255" s="145">
        <f t="shared" si="27"/>
        <v>0</v>
      </c>
      <c r="O255" s="145">
        <f t="shared" ref="O255:Q274" si="28">INDEX(per.sub.revenues.by.revenues.descriptions,$B255,MATCH(O$253,revenue.descriptions.short,0))</f>
        <v>0</v>
      </c>
      <c r="P255" s="145">
        <f t="shared" si="28"/>
        <v>0</v>
      </c>
      <c r="Q255" s="145">
        <f t="shared" si="28"/>
        <v>0</v>
      </c>
      <c r="S255" s="145">
        <f t="shared" ref="S255:U274" si="29">INDEX(per.sub.revenues.by.revenues.descriptions,$B255,MATCH(S$253,revenue.descriptions.short,0))</f>
        <v>0</v>
      </c>
      <c r="T255" s="145">
        <f t="shared" si="29"/>
        <v>0</v>
      </c>
      <c r="U255" s="145">
        <f t="shared" si="29"/>
        <v>0</v>
      </c>
    </row>
    <row r="256" spans="2:21" ht="12" hidden="1" customHeight="1" outlineLevel="2">
      <c r="B256">
        <f t="shared" si="26"/>
        <v>37</v>
      </c>
      <c r="C256" s="73" t="str">
        <v>SpareOfferB2</v>
      </c>
      <c r="D256" t="s">
        <v>170</v>
      </c>
      <c r="F256" s="225">
        <f t="shared" ref="F256:F289" si="30">SUM(H256:M256)+SUM(O256:Q256)+SUM(S256:U256)</f>
        <v>0</v>
      </c>
      <c r="H256" s="145">
        <f t="shared" si="27"/>
        <v>0</v>
      </c>
      <c r="I256" s="145">
        <f t="shared" si="27"/>
        <v>0</v>
      </c>
      <c r="J256" s="145">
        <f t="shared" si="27"/>
        <v>0</v>
      </c>
      <c r="K256" s="145">
        <f t="shared" si="27"/>
        <v>0</v>
      </c>
      <c r="L256" s="145">
        <f t="shared" si="27"/>
        <v>0</v>
      </c>
      <c r="M256" s="145">
        <f t="shared" si="27"/>
        <v>0</v>
      </c>
      <c r="O256" s="145">
        <f t="shared" si="28"/>
        <v>0</v>
      </c>
      <c r="P256" s="145">
        <f t="shared" si="28"/>
        <v>0</v>
      </c>
      <c r="Q256" s="145">
        <f t="shared" si="28"/>
        <v>0</v>
      </c>
      <c r="S256" s="145">
        <f t="shared" si="29"/>
        <v>0</v>
      </c>
      <c r="T256" s="145">
        <f t="shared" si="29"/>
        <v>0</v>
      </c>
      <c r="U256" s="145">
        <f t="shared" si="29"/>
        <v>0</v>
      </c>
    </row>
    <row r="257" spans="2:21" ht="12" hidden="1" customHeight="1" outlineLevel="2">
      <c r="B257">
        <f t="shared" si="26"/>
        <v>38</v>
      </c>
      <c r="C257" s="73" t="str">
        <v>SpareOfferB3</v>
      </c>
      <c r="D257" t="s">
        <v>170</v>
      </c>
      <c r="F257" s="225">
        <f t="shared" si="30"/>
        <v>0</v>
      </c>
      <c r="H257" s="145">
        <f t="shared" si="27"/>
        <v>0</v>
      </c>
      <c r="I257" s="145">
        <f t="shared" si="27"/>
        <v>0</v>
      </c>
      <c r="J257" s="145">
        <f t="shared" si="27"/>
        <v>0</v>
      </c>
      <c r="K257" s="145">
        <f t="shared" si="27"/>
        <v>0</v>
      </c>
      <c r="L257" s="145">
        <f t="shared" si="27"/>
        <v>0</v>
      </c>
      <c r="M257" s="145">
        <f t="shared" si="27"/>
        <v>0</v>
      </c>
      <c r="O257" s="145">
        <f t="shared" si="28"/>
        <v>0</v>
      </c>
      <c r="P257" s="145">
        <f t="shared" si="28"/>
        <v>0</v>
      </c>
      <c r="Q257" s="145">
        <f t="shared" si="28"/>
        <v>0</v>
      </c>
      <c r="S257" s="145">
        <f t="shared" si="29"/>
        <v>0</v>
      </c>
      <c r="T257" s="145">
        <f t="shared" si="29"/>
        <v>0</v>
      </c>
      <c r="U257" s="145">
        <f t="shared" si="29"/>
        <v>0</v>
      </c>
    </row>
    <row r="258" spans="2:21" ht="12" hidden="1" customHeight="1" outlineLevel="2">
      <c r="B258">
        <f t="shared" si="26"/>
        <v>39</v>
      </c>
      <c r="C258" s="73" t="str">
        <v>SpareOfferB4</v>
      </c>
      <c r="D258" t="s">
        <v>170</v>
      </c>
      <c r="F258" s="225">
        <f t="shared" si="30"/>
        <v>0</v>
      </c>
      <c r="H258" s="145">
        <f t="shared" si="27"/>
        <v>0</v>
      </c>
      <c r="I258" s="145">
        <f t="shared" si="27"/>
        <v>0</v>
      </c>
      <c r="J258" s="145">
        <f t="shared" si="27"/>
        <v>0</v>
      </c>
      <c r="K258" s="145">
        <f t="shared" si="27"/>
        <v>0</v>
      </c>
      <c r="L258" s="145">
        <f t="shared" si="27"/>
        <v>0</v>
      </c>
      <c r="M258" s="145">
        <f t="shared" si="27"/>
        <v>0</v>
      </c>
      <c r="O258" s="145">
        <f t="shared" si="28"/>
        <v>0</v>
      </c>
      <c r="P258" s="145">
        <f t="shared" si="28"/>
        <v>0</v>
      </c>
      <c r="Q258" s="145">
        <f t="shared" si="28"/>
        <v>0</v>
      </c>
      <c r="S258" s="145">
        <f t="shared" si="29"/>
        <v>0</v>
      </c>
      <c r="T258" s="145">
        <f t="shared" si="29"/>
        <v>0</v>
      </c>
      <c r="U258" s="145">
        <f t="shared" si="29"/>
        <v>0</v>
      </c>
    </row>
    <row r="259" spans="2:21" ht="12" hidden="1" customHeight="1" outlineLevel="2">
      <c r="B259">
        <f t="shared" si="26"/>
        <v>40</v>
      </c>
      <c r="C259" s="73" t="str">
        <v>SpareOfferB5</v>
      </c>
      <c r="D259" t="s">
        <v>170</v>
      </c>
      <c r="F259" s="225">
        <f t="shared" si="30"/>
        <v>0</v>
      </c>
      <c r="H259" s="145">
        <f t="shared" si="27"/>
        <v>0</v>
      </c>
      <c r="I259" s="145">
        <f t="shared" si="27"/>
        <v>0</v>
      </c>
      <c r="J259" s="145">
        <f t="shared" si="27"/>
        <v>0</v>
      </c>
      <c r="K259" s="145">
        <f t="shared" si="27"/>
        <v>0</v>
      </c>
      <c r="L259" s="145">
        <f t="shared" si="27"/>
        <v>0</v>
      </c>
      <c r="M259" s="145">
        <f t="shared" si="27"/>
        <v>0</v>
      </c>
      <c r="O259" s="145">
        <f t="shared" si="28"/>
        <v>0</v>
      </c>
      <c r="P259" s="145">
        <f t="shared" si="28"/>
        <v>0</v>
      </c>
      <c r="Q259" s="145">
        <f t="shared" si="28"/>
        <v>0</v>
      </c>
      <c r="S259" s="145">
        <f t="shared" si="29"/>
        <v>0</v>
      </c>
      <c r="T259" s="145">
        <f t="shared" si="29"/>
        <v>0</v>
      </c>
      <c r="U259" s="145">
        <f t="shared" si="29"/>
        <v>0</v>
      </c>
    </row>
    <row r="260" spans="2:21" ht="12" hidden="1" customHeight="1" outlineLevel="2">
      <c r="B260">
        <f t="shared" si="26"/>
        <v>41</v>
      </c>
      <c r="C260" s="73" t="str">
        <v>SpareOfferB6</v>
      </c>
      <c r="D260" t="s">
        <v>170</v>
      </c>
      <c r="F260" s="225">
        <f t="shared" si="30"/>
        <v>0</v>
      </c>
      <c r="H260" s="145">
        <f t="shared" si="27"/>
        <v>0</v>
      </c>
      <c r="I260" s="145">
        <f t="shared" si="27"/>
        <v>0</v>
      </c>
      <c r="J260" s="145">
        <f t="shared" si="27"/>
        <v>0</v>
      </c>
      <c r="K260" s="145">
        <f t="shared" si="27"/>
        <v>0</v>
      </c>
      <c r="L260" s="145">
        <f t="shared" si="27"/>
        <v>0</v>
      </c>
      <c r="M260" s="145">
        <f t="shared" si="27"/>
        <v>0</v>
      </c>
      <c r="O260" s="145">
        <f t="shared" si="28"/>
        <v>0</v>
      </c>
      <c r="P260" s="145">
        <f t="shared" si="28"/>
        <v>0</v>
      </c>
      <c r="Q260" s="145">
        <f t="shared" si="28"/>
        <v>0</v>
      </c>
      <c r="S260" s="145">
        <f t="shared" si="29"/>
        <v>0</v>
      </c>
      <c r="T260" s="145">
        <f t="shared" si="29"/>
        <v>0</v>
      </c>
      <c r="U260" s="145">
        <f t="shared" si="29"/>
        <v>0</v>
      </c>
    </row>
    <row r="261" spans="2:21" ht="12" hidden="1" customHeight="1" outlineLevel="2">
      <c r="B261">
        <f t="shared" si="26"/>
        <v>42</v>
      </c>
      <c r="C261" s="73" t="str">
        <v>SpareOfferB7</v>
      </c>
      <c r="D261" t="s">
        <v>170</v>
      </c>
      <c r="F261" s="225">
        <f t="shared" si="30"/>
        <v>0</v>
      </c>
      <c r="H261" s="145">
        <f t="shared" si="27"/>
        <v>0</v>
      </c>
      <c r="I261" s="145">
        <f t="shared" si="27"/>
        <v>0</v>
      </c>
      <c r="J261" s="145">
        <f t="shared" si="27"/>
        <v>0</v>
      </c>
      <c r="K261" s="145">
        <f t="shared" si="27"/>
        <v>0</v>
      </c>
      <c r="L261" s="145">
        <f t="shared" si="27"/>
        <v>0</v>
      </c>
      <c r="M261" s="145">
        <f t="shared" si="27"/>
        <v>0</v>
      </c>
      <c r="O261" s="145">
        <f t="shared" si="28"/>
        <v>0</v>
      </c>
      <c r="P261" s="145">
        <f t="shared" si="28"/>
        <v>0</v>
      </c>
      <c r="Q261" s="145">
        <f t="shared" si="28"/>
        <v>0</v>
      </c>
      <c r="S261" s="145">
        <f t="shared" si="29"/>
        <v>0</v>
      </c>
      <c r="T261" s="145">
        <f t="shared" si="29"/>
        <v>0</v>
      </c>
      <c r="U261" s="145">
        <f t="shared" si="29"/>
        <v>0</v>
      </c>
    </row>
    <row r="262" spans="2:21" ht="12" hidden="1" customHeight="1" outlineLevel="2">
      <c r="B262">
        <f t="shared" si="26"/>
        <v>43</v>
      </c>
      <c r="C262" s="73" t="str">
        <v>SpareOfferB8</v>
      </c>
      <c r="D262" t="s">
        <v>170</v>
      </c>
      <c r="F262" s="225">
        <f t="shared" si="30"/>
        <v>0</v>
      </c>
      <c r="H262" s="145">
        <f t="shared" si="27"/>
        <v>0</v>
      </c>
      <c r="I262" s="145">
        <f t="shared" si="27"/>
        <v>0</v>
      </c>
      <c r="J262" s="145">
        <f t="shared" si="27"/>
        <v>0</v>
      </c>
      <c r="K262" s="145">
        <f t="shared" si="27"/>
        <v>0</v>
      </c>
      <c r="L262" s="145">
        <f t="shared" si="27"/>
        <v>0</v>
      </c>
      <c r="M262" s="145">
        <f t="shared" si="27"/>
        <v>0</v>
      </c>
      <c r="O262" s="145">
        <f t="shared" si="28"/>
        <v>0</v>
      </c>
      <c r="P262" s="145">
        <f t="shared" si="28"/>
        <v>0</v>
      </c>
      <c r="Q262" s="145">
        <f t="shared" si="28"/>
        <v>0</v>
      </c>
      <c r="S262" s="145">
        <f t="shared" si="29"/>
        <v>0</v>
      </c>
      <c r="T262" s="145">
        <f t="shared" si="29"/>
        <v>0</v>
      </c>
      <c r="U262" s="145">
        <f t="shared" si="29"/>
        <v>0</v>
      </c>
    </row>
    <row r="263" spans="2:21" ht="12" hidden="1" customHeight="1" outlineLevel="2">
      <c r="B263">
        <f t="shared" si="26"/>
        <v>44</v>
      </c>
      <c r="C263" s="73" t="str">
        <v>SpareOfferB9</v>
      </c>
      <c r="D263" t="s">
        <v>170</v>
      </c>
      <c r="F263" s="225">
        <f t="shared" si="30"/>
        <v>0</v>
      </c>
      <c r="H263" s="145">
        <f t="shared" si="27"/>
        <v>0</v>
      </c>
      <c r="I263" s="145">
        <f t="shared" si="27"/>
        <v>0</v>
      </c>
      <c r="J263" s="145">
        <f t="shared" si="27"/>
        <v>0</v>
      </c>
      <c r="K263" s="145">
        <f t="shared" si="27"/>
        <v>0</v>
      </c>
      <c r="L263" s="145">
        <f t="shared" si="27"/>
        <v>0</v>
      </c>
      <c r="M263" s="145">
        <f t="shared" si="27"/>
        <v>0</v>
      </c>
      <c r="O263" s="145">
        <f t="shared" si="28"/>
        <v>0</v>
      </c>
      <c r="P263" s="145">
        <f t="shared" si="28"/>
        <v>0</v>
      </c>
      <c r="Q263" s="145">
        <f t="shared" si="28"/>
        <v>0</v>
      </c>
      <c r="S263" s="145">
        <f t="shared" si="29"/>
        <v>0</v>
      </c>
      <c r="T263" s="145">
        <f t="shared" si="29"/>
        <v>0</v>
      </c>
      <c r="U263" s="145">
        <f t="shared" si="29"/>
        <v>0</v>
      </c>
    </row>
    <row r="264" spans="2:21" ht="12" hidden="1" customHeight="1" outlineLevel="2">
      <c r="B264">
        <f t="shared" si="26"/>
        <v>45</v>
      </c>
      <c r="C264" s="73" t="str">
        <v>SpareOfferB10</v>
      </c>
      <c r="D264" t="s">
        <v>170</v>
      </c>
      <c r="F264" s="225">
        <f t="shared" si="30"/>
        <v>0</v>
      </c>
      <c r="H264" s="145">
        <f t="shared" si="27"/>
        <v>0</v>
      </c>
      <c r="I264" s="145">
        <f t="shared" si="27"/>
        <v>0</v>
      </c>
      <c r="J264" s="145">
        <f t="shared" si="27"/>
        <v>0</v>
      </c>
      <c r="K264" s="145">
        <f t="shared" si="27"/>
        <v>0</v>
      </c>
      <c r="L264" s="145">
        <f t="shared" si="27"/>
        <v>0</v>
      </c>
      <c r="M264" s="145">
        <f t="shared" si="27"/>
        <v>0</v>
      </c>
      <c r="O264" s="145">
        <f t="shared" si="28"/>
        <v>0</v>
      </c>
      <c r="P264" s="145">
        <f t="shared" si="28"/>
        <v>0</v>
      </c>
      <c r="Q264" s="145">
        <f t="shared" si="28"/>
        <v>0</v>
      </c>
      <c r="S264" s="145">
        <f t="shared" si="29"/>
        <v>0</v>
      </c>
      <c r="T264" s="145">
        <f t="shared" si="29"/>
        <v>0</v>
      </c>
      <c r="U264" s="145">
        <f t="shared" si="29"/>
        <v>0</v>
      </c>
    </row>
    <row r="265" spans="2:21" ht="12" hidden="1" customHeight="1" outlineLevel="2">
      <c r="B265">
        <f t="shared" si="26"/>
        <v>46</v>
      </c>
      <c r="C265" s="73" t="str">
        <v>SpareOfferB11</v>
      </c>
      <c r="D265" t="s">
        <v>170</v>
      </c>
      <c r="F265" s="225">
        <f t="shared" si="30"/>
        <v>0</v>
      </c>
      <c r="H265" s="145">
        <f t="shared" ref="H265:M274" si="31">INDEX(per.sub.revenues.by.revenues.descriptions,$B265,MATCH(H$253,revenue.descriptions.short,0))</f>
        <v>0</v>
      </c>
      <c r="I265" s="145">
        <f t="shared" si="31"/>
        <v>0</v>
      </c>
      <c r="J265" s="145">
        <f t="shared" si="31"/>
        <v>0</v>
      </c>
      <c r="K265" s="145">
        <f t="shared" si="31"/>
        <v>0</v>
      </c>
      <c r="L265" s="145">
        <f t="shared" si="31"/>
        <v>0</v>
      </c>
      <c r="M265" s="145">
        <f t="shared" si="31"/>
        <v>0</v>
      </c>
      <c r="O265" s="145">
        <f t="shared" si="28"/>
        <v>0</v>
      </c>
      <c r="P265" s="145">
        <f t="shared" si="28"/>
        <v>0</v>
      </c>
      <c r="Q265" s="145">
        <f t="shared" si="28"/>
        <v>0</v>
      </c>
      <c r="S265" s="145">
        <f t="shared" si="29"/>
        <v>0</v>
      </c>
      <c r="T265" s="145">
        <f t="shared" si="29"/>
        <v>0</v>
      </c>
      <c r="U265" s="145">
        <f t="shared" si="29"/>
        <v>0</v>
      </c>
    </row>
    <row r="266" spans="2:21" ht="12" hidden="1" customHeight="1" outlineLevel="2">
      <c r="B266">
        <f t="shared" si="26"/>
        <v>47</v>
      </c>
      <c r="C266" s="73" t="str">
        <v>SpareOfferB12</v>
      </c>
      <c r="D266" t="s">
        <v>170</v>
      </c>
      <c r="F266" s="225">
        <f t="shared" si="30"/>
        <v>0</v>
      </c>
      <c r="H266" s="145">
        <f t="shared" si="31"/>
        <v>0</v>
      </c>
      <c r="I266" s="145">
        <f t="shared" si="31"/>
        <v>0</v>
      </c>
      <c r="J266" s="145">
        <f t="shared" si="31"/>
        <v>0</v>
      </c>
      <c r="K266" s="145">
        <f t="shared" si="31"/>
        <v>0</v>
      </c>
      <c r="L266" s="145">
        <f t="shared" si="31"/>
        <v>0</v>
      </c>
      <c r="M266" s="145">
        <f t="shared" si="31"/>
        <v>0</v>
      </c>
      <c r="O266" s="145">
        <f t="shared" si="28"/>
        <v>0</v>
      </c>
      <c r="P266" s="145">
        <f t="shared" si="28"/>
        <v>0</v>
      </c>
      <c r="Q266" s="145">
        <f t="shared" si="28"/>
        <v>0</v>
      </c>
      <c r="S266" s="145">
        <f t="shared" si="29"/>
        <v>0</v>
      </c>
      <c r="T266" s="145">
        <f t="shared" si="29"/>
        <v>0</v>
      </c>
      <c r="U266" s="145">
        <f t="shared" si="29"/>
        <v>0</v>
      </c>
    </row>
    <row r="267" spans="2:21" ht="12" hidden="1" customHeight="1" outlineLevel="2">
      <c r="B267">
        <f t="shared" si="26"/>
        <v>48</v>
      </c>
      <c r="C267" s="73" t="str">
        <v>SpareOfferB13</v>
      </c>
      <c r="D267" t="s">
        <v>170</v>
      </c>
      <c r="F267" s="225">
        <f t="shared" si="30"/>
        <v>0</v>
      </c>
      <c r="H267" s="145">
        <f t="shared" si="31"/>
        <v>0</v>
      </c>
      <c r="I267" s="145">
        <f t="shared" si="31"/>
        <v>0</v>
      </c>
      <c r="J267" s="145">
        <f t="shared" si="31"/>
        <v>0</v>
      </c>
      <c r="K267" s="145">
        <f t="shared" si="31"/>
        <v>0</v>
      </c>
      <c r="L267" s="145">
        <f t="shared" si="31"/>
        <v>0</v>
      </c>
      <c r="M267" s="145">
        <f t="shared" si="31"/>
        <v>0</v>
      </c>
      <c r="O267" s="145">
        <f t="shared" si="28"/>
        <v>0</v>
      </c>
      <c r="P267" s="145">
        <f t="shared" si="28"/>
        <v>0</v>
      </c>
      <c r="Q267" s="145">
        <f t="shared" si="28"/>
        <v>0</v>
      </c>
      <c r="S267" s="145">
        <f t="shared" si="29"/>
        <v>0</v>
      </c>
      <c r="T267" s="145">
        <f t="shared" si="29"/>
        <v>0</v>
      </c>
      <c r="U267" s="145">
        <f t="shared" si="29"/>
        <v>0</v>
      </c>
    </row>
    <row r="268" spans="2:21" ht="12" hidden="1" customHeight="1" outlineLevel="2">
      <c r="B268">
        <f t="shared" si="26"/>
        <v>49</v>
      </c>
      <c r="C268" s="73" t="str">
        <v>SpareOfferB14</v>
      </c>
      <c r="D268" t="s">
        <v>170</v>
      </c>
      <c r="F268" s="225">
        <f t="shared" si="30"/>
        <v>0</v>
      </c>
      <c r="H268" s="145">
        <f t="shared" si="31"/>
        <v>0</v>
      </c>
      <c r="I268" s="145">
        <f t="shared" si="31"/>
        <v>0</v>
      </c>
      <c r="J268" s="145">
        <f t="shared" si="31"/>
        <v>0</v>
      </c>
      <c r="K268" s="145">
        <f t="shared" si="31"/>
        <v>0</v>
      </c>
      <c r="L268" s="145">
        <f t="shared" si="31"/>
        <v>0</v>
      </c>
      <c r="M268" s="145">
        <f t="shared" si="31"/>
        <v>0</v>
      </c>
      <c r="O268" s="145">
        <f t="shared" si="28"/>
        <v>0</v>
      </c>
      <c r="P268" s="145">
        <f t="shared" si="28"/>
        <v>0</v>
      </c>
      <c r="Q268" s="145">
        <f t="shared" si="28"/>
        <v>0</v>
      </c>
      <c r="S268" s="145">
        <f t="shared" si="29"/>
        <v>0</v>
      </c>
      <c r="T268" s="145">
        <f t="shared" si="29"/>
        <v>0</v>
      </c>
      <c r="U268" s="145">
        <f t="shared" si="29"/>
        <v>0</v>
      </c>
    </row>
    <row r="269" spans="2:21" ht="12" hidden="1" customHeight="1" outlineLevel="2">
      <c r="B269">
        <f t="shared" si="26"/>
        <v>50</v>
      </c>
      <c r="C269" s="73" t="str">
        <v>SpareOfferB15</v>
      </c>
      <c r="D269" t="s">
        <v>170</v>
      </c>
      <c r="F269" s="225">
        <f t="shared" si="30"/>
        <v>0</v>
      </c>
      <c r="H269" s="145">
        <f t="shared" si="31"/>
        <v>0</v>
      </c>
      <c r="I269" s="145">
        <f t="shared" si="31"/>
        <v>0</v>
      </c>
      <c r="J269" s="145">
        <f t="shared" si="31"/>
        <v>0</v>
      </c>
      <c r="K269" s="145">
        <f t="shared" si="31"/>
        <v>0</v>
      </c>
      <c r="L269" s="145">
        <f t="shared" si="31"/>
        <v>0</v>
      </c>
      <c r="M269" s="145">
        <f t="shared" si="31"/>
        <v>0</v>
      </c>
      <c r="O269" s="145">
        <f t="shared" si="28"/>
        <v>0</v>
      </c>
      <c r="P269" s="145">
        <f t="shared" si="28"/>
        <v>0</v>
      </c>
      <c r="Q269" s="145">
        <f t="shared" si="28"/>
        <v>0</v>
      </c>
      <c r="S269" s="145">
        <f t="shared" si="29"/>
        <v>0</v>
      </c>
      <c r="T269" s="145">
        <f t="shared" si="29"/>
        <v>0</v>
      </c>
      <c r="U269" s="145">
        <f t="shared" si="29"/>
        <v>0</v>
      </c>
    </row>
    <row r="270" spans="2:21" ht="12" hidden="1" customHeight="1" outlineLevel="2">
      <c r="B270">
        <f t="shared" si="26"/>
        <v>51</v>
      </c>
      <c r="C270" s="73" t="str">
        <v>SpareOfferB16</v>
      </c>
      <c r="D270" t="s">
        <v>170</v>
      </c>
      <c r="F270" s="225">
        <f t="shared" si="30"/>
        <v>0</v>
      </c>
      <c r="H270" s="145">
        <f t="shared" si="31"/>
        <v>0</v>
      </c>
      <c r="I270" s="145">
        <f t="shared" si="31"/>
        <v>0</v>
      </c>
      <c r="J270" s="145">
        <f t="shared" si="31"/>
        <v>0</v>
      </c>
      <c r="K270" s="145">
        <f t="shared" si="31"/>
        <v>0</v>
      </c>
      <c r="L270" s="145">
        <f t="shared" si="31"/>
        <v>0</v>
      </c>
      <c r="M270" s="145">
        <f t="shared" si="31"/>
        <v>0</v>
      </c>
      <c r="O270" s="145">
        <f t="shared" si="28"/>
        <v>0</v>
      </c>
      <c r="P270" s="145">
        <f t="shared" si="28"/>
        <v>0</v>
      </c>
      <c r="Q270" s="145">
        <f t="shared" si="28"/>
        <v>0</v>
      </c>
      <c r="S270" s="145">
        <f t="shared" si="29"/>
        <v>0</v>
      </c>
      <c r="T270" s="145">
        <f t="shared" si="29"/>
        <v>0</v>
      </c>
      <c r="U270" s="145">
        <f t="shared" si="29"/>
        <v>0</v>
      </c>
    </row>
    <row r="271" spans="2:21" ht="12" hidden="1" customHeight="1" outlineLevel="2">
      <c r="B271">
        <f t="shared" si="26"/>
        <v>52</v>
      </c>
      <c r="C271" s="73" t="str">
        <v>SpareOfferB17</v>
      </c>
      <c r="D271" t="s">
        <v>170</v>
      </c>
      <c r="F271" s="225">
        <f t="shared" si="30"/>
        <v>0</v>
      </c>
      <c r="H271" s="145">
        <f t="shared" si="31"/>
        <v>0</v>
      </c>
      <c r="I271" s="145">
        <f t="shared" si="31"/>
        <v>0</v>
      </c>
      <c r="J271" s="145">
        <f t="shared" si="31"/>
        <v>0</v>
      </c>
      <c r="K271" s="145">
        <f t="shared" si="31"/>
        <v>0</v>
      </c>
      <c r="L271" s="145">
        <f t="shared" si="31"/>
        <v>0</v>
      </c>
      <c r="M271" s="145">
        <f t="shared" si="31"/>
        <v>0</v>
      </c>
      <c r="O271" s="145">
        <f t="shared" si="28"/>
        <v>0</v>
      </c>
      <c r="P271" s="145">
        <f t="shared" si="28"/>
        <v>0</v>
      </c>
      <c r="Q271" s="145">
        <f t="shared" si="28"/>
        <v>0</v>
      </c>
      <c r="S271" s="145">
        <f t="shared" si="29"/>
        <v>0</v>
      </c>
      <c r="T271" s="145">
        <f t="shared" si="29"/>
        <v>0</v>
      </c>
      <c r="U271" s="145">
        <f t="shared" si="29"/>
        <v>0</v>
      </c>
    </row>
    <row r="272" spans="2:21" ht="12" hidden="1" customHeight="1" outlineLevel="2">
      <c r="B272">
        <f t="shared" si="26"/>
        <v>53</v>
      </c>
      <c r="C272" s="73" t="str">
        <v>SpareOfferB18</v>
      </c>
      <c r="D272" t="s">
        <v>170</v>
      </c>
      <c r="F272" s="225">
        <f t="shared" si="30"/>
        <v>0</v>
      </c>
      <c r="H272" s="145">
        <f t="shared" si="31"/>
        <v>0</v>
      </c>
      <c r="I272" s="145">
        <f t="shared" si="31"/>
        <v>0</v>
      </c>
      <c r="J272" s="145">
        <f t="shared" si="31"/>
        <v>0</v>
      </c>
      <c r="K272" s="145">
        <f t="shared" si="31"/>
        <v>0</v>
      </c>
      <c r="L272" s="145">
        <f t="shared" si="31"/>
        <v>0</v>
      </c>
      <c r="M272" s="145">
        <f t="shared" si="31"/>
        <v>0</v>
      </c>
      <c r="O272" s="145">
        <f t="shared" si="28"/>
        <v>0</v>
      </c>
      <c r="P272" s="145">
        <f t="shared" si="28"/>
        <v>0</v>
      </c>
      <c r="Q272" s="145">
        <f t="shared" si="28"/>
        <v>0</v>
      </c>
      <c r="S272" s="145">
        <f t="shared" si="29"/>
        <v>0</v>
      </c>
      <c r="T272" s="145">
        <f t="shared" si="29"/>
        <v>0</v>
      </c>
      <c r="U272" s="145">
        <f t="shared" si="29"/>
        <v>0</v>
      </c>
    </row>
    <row r="273" spans="2:21" ht="12" hidden="1" customHeight="1" outlineLevel="2">
      <c r="B273">
        <f t="shared" si="26"/>
        <v>54</v>
      </c>
      <c r="C273" s="73" t="str">
        <v>SpareOfferB19</v>
      </c>
      <c r="D273" t="s">
        <v>170</v>
      </c>
      <c r="F273" s="225">
        <f t="shared" si="30"/>
        <v>0</v>
      </c>
      <c r="H273" s="145">
        <f t="shared" si="31"/>
        <v>0</v>
      </c>
      <c r="I273" s="145">
        <f t="shared" si="31"/>
        <v>0</v>
      </c>
      <c r="J273" s="145">
        <f t="shared" si="31"/>
        <v>0</v>
      </c>
      <c r="K273" s="145">
        <f t="shared" si="31"/>
        <v>0</v>
      </c>
      <c r="L273" s="145">
        <f t="shared" si="31"/>
        <v>0</v>
      </c>
      <c r="M273" s="145">
        <f t="shared" si="31"/>
        <v>0</v>
      </c>
      <c r="O273" s="145">
        <f t="shared" si="28"/>
        <v>0</v>
      </c>
      <c r="P273" s="145">
        <f t="shared" si="28"/>
        <v>0</v>
      </c>
      <c r="Q273" s="145">
        <f t="shared" si="28"/>
        <v>0</v>
      </c>
      <c r="S273" s="145">
        <f t="shared" si="29"/>
        <v>0</v>
      </c>
      <c r="T273" s="145">
        <f t="shared" si="29"/>
        <v>0</v>
      </c>
      <c r="U273" s="145">
        <f t="shared" si="29"/>
        <v>0</v>
      </c>
    </row>
    <row r="274" spans="2:21" ht="12" hidden="1" customHeight="1" outlineLevel="2">
      <c r="B274">
        <f t="shared" si="26"/>
        <v>55</v>
      </c>
      <c r="C274" s="73" t="str">
        <v>SpareOfferB20</v>
      </c>
      <c r="D274" t="s">
        <v>170</v>
      </c>
      <c r="F274" s="225">
        <f t="shared" si="30"/>
        <v>0</v>
      </c>
      <c r="H274" s="145">
        <f t="shared" si="31"/>
        <v>0</v>
      </c>
      <c r="I274" s="145">
        <f t="shared" si="31"/>
        <v>0</v>
      </c>
      <c r="J274" s="145">
        <f t="shared" si="31"/>
        <v>0</v>
      </c>
      <c r="K274" s="145">
        <f t="shared" si="31"/>
        <v>0</v>
      </c>
      <c r="L274" s="145">
        <f t="shared" si="31"/>
        <v>0</v>
      </c>
      <c r="M274" s="145">
        <f t="shared" si="31"/>
        <v>0</v>
      </c>
      <c r="O274" s="145">
        <f t="shared" si="28"/>
        <v>0</v>
      </c>
      <c r="P274" s="145">
        <f t="shared" si="28"/>
        <v>0</v>
      </c>
      <c r="Q274" s="145">
        <f t="shared" si="28"/>
        <v>0</v>
      </c>
      <c r="S274" s="145">
        <f t="shared" si="29"/>
        <v>0</v>
      </c>
      <c r="T274" s="145">
        <f t="shared" si="29"/>
        <v>0</v>
      </c>
      <c r="U274" s="145">
        <f t="shared" si="29"/>
        <v>0</v>
      </c>
    </row>
    <row r="275" spans="2:21" ht="12" hidden="1" customHeight="1" outlineLevel="2">
      <c r="B275">
        <f t="shared" si="26"/>
        <v>56</v>
      </c>
      <c r="C275" s="73" t="str">
        <v>SpareOfferB21</v>
      </c>
      <c r="D275" t="s">
        <v>170</v>
      </c>
      <c r="F275" s="225">
        <f t="shared" si="30"/>
        <v>0</v>
      </c>
      <c r="H275" s="145">
        <f t="shared" ref="H275:M289" si="32">INDEX(per.sub.revenues.by.revenues.descriptions,$B275,MATCH(H$253,revenue.descriptions.short,0))</f>
        <v>0</v>
      </c>
      <c r="I275" s="145">
        <f t="shared" si="32"/>
        <v>0</v>
      </c>
      <c r="J275" s="145">
        <f t="shared" si="32"/>
        <v>0</v>
      </c>
      <c r="K275" s="145">
        <f t="shared" si="32"/>
        <v>0</v>
      </c>
      <c r="L275" s="145">
        <f t="shared" si="32"/>
        <v>0</v>
      </c>
      <c r="M275" s="145">
        <f t="shared" si="32"/>
        <v>0</v>
      </c>
      <c r="O275" s="145">
        <f t="shared" ref="O275:Q289" si="33">INDEX(per.sub.revenues.by.revenues.descriptions,$B275,MATCH(O$253,revenue.descriptions.short,0))</f>
        <v>0</v>
      </c>
      <c r="P275" s="145">
        <f t="shared" si="33"/>
        <v>0</v>
      </c>
      <c r="Q275" s="145">
        <f t="shared" si="33"/>
        <v>0</v>
      </c>
      <c r="S275" s="145">
        <f t="shared" ref="S275:U289" si="34">INDEX(per.sub.revenues.by.revenues.descriptions,$B275,MATCH(S$253,revenue.descriptions.short,0))</f>
        <v>0</v>
      </c>
      <c r="T275" s="145">
        <f t="shared" si="34"/>
        <v>0</v>
      </c>
      <c r="U275" s="145">
        <f t="shared" si="34"/>
        <v>0</v>
      </c>
    </row>
    <row r="276" spans="2:21" ht="12" hidden="1" customHeight="1" outlineLevel="2">
      <c r="B276">
        <f t="shared" si="26"/>
        <v>57</v>
      </c>
      <c r="C276" s="73" t="str">
        <v>SpareOfferB22</v>
      </c>
      <c r="D276" t="s">
        <v>170</v>
      </c>
      <c r="F276" s="225">
        <f t="shared" si="30"/>
        <v>0</v>
      </c>
      <c r="H276" s="145">
        <f t="shared" si="32"/>
        <v>0</v>
      </c>
      <c r="I276" s="145">
        <f t="shared" si="32"/>
        <v>0</v>
      </c>
      <c r="J276" s="145">
        <f t="shared" si="32"/>
        <v>0</v>
      </c>
      <c r="K276" s="145">
        <f t="shared" si="32"/>
        <v>0</v>
      </c>
      <c r="L276" s="145">
        <f t="shared" si="32"/>
        <v>0</v>
      </c>
      <c r="M276" s="145">
        <f t="shared" si="32"/>
        <v>0</v>
      </c>
      <c r="O276" s="145">
        <f t="shared" si="33"/>
        <v>0</v>
      </c>
      <c r="P276" s="145">
        <f t="shared" si="33"/>
        <v>0</v>
      </c>
      <c r="Q276" s="145">
        <f t="shared" si="33"/>
        <v>0</v>
      </c>
      <c r="S276" s="145">
        <f t="shared" si="34"/>
        <v>0</v>
      </c>
      <c r="T276" s="145">
        <f t="shared" si="34"/>
        <v>0</v>
      </c>
      <c r="U276" s="145">
        <f t="shared" si="34"/>
        <v>0</v>
      </c>
    </row>
    <row r="277" spans="2:21" ht="12" hidden="1" customHeight="1" outlineLevel="2">
      <c r="B277">
        <f t="shared" si="26"/>
        <v>58</v>
      </c>
      <c r="C277" s="73" t="str">
        <v>SpareOfferB23</v>
      </c>
      <c r="D277" t="s">
        <v>170</v>
      </c>
      <c r="F277" s="225">
        <f t="shared" si="30"/>
        <v>0</v>
      </c>
      <c r="H277" s="145">
        <f t="shared" si="32"/>
        <v>0</v>
      </c>
      <c r="I277" s="145">
        <f t="shared" si="32"/>
        <v>0</v>
      </c>
      <c r="J277" s="145">
        <f t="shared" si="32"/>
        <v>0</v>
      </c>
      <c r="K277" s="145">
        <f t="shared" si="32"/>
        <v>0</v>
      </c>
      <c r="L277" s="145">
        <f t="shared" si="32"/>
        <v>0</v>
      </c>
      <c r="M277" s="145">
        <f t="shared" si="32"/>
        <v>0</v>
      </c>
      <c r="O277" s="145">
        <f t="shared" si="33"/>
        <v>0</v>
      </c>
      <c r="P277" s="145">
        <f t="shared" si="33"/>
        <v>0</v>
      </c>
      <c r="Q277" s="145">
        <f t="shared" si="33"/>
        <v>0</v>
      </c>
      <c r="S277" s="145">
        <f t="shared" si="34"/>
        <v>0</v>
      </c>
      <c r="T277" s="145">
        <f t="shared" si="34"/>
        <v>0</v>
      </c>
      <c r="U277" s="145">
        <f t="shared" si="34"/>
        <v>0</v>
      </c>
    </row>
    <row r="278" spans="2:21" ht="12" hidden="1" customHeight="1" outlineLevel="2">
      <c r="B278">
        <f t="shared" si="26"/>
        <v>59</v>
      </c>
      <c r="C278" s="73" t="str">
        <v>SpareOfferB24</v>
      </c>
      <c r="D278" t="s">
        <v>170</v>
      </c>
      <c r="F278" s="225">
        <f t="shared" si="30"/>
        <v>0</v>
      </c>
      <c r="H278" s="145">
        <f t="shared" si="32"/>
        <v>0</v>
      </c>
      <c r="I278" s="145">
        <f t="shared" si="32"/>
        <v>0</v>
      </c>
      <c r="J278" s="145">
        <f t="shared" si="32"/>
        <v>0</v>
      </c>
      <c r="K278" s="145">
        <f t="shared" si="32"/>
        <v>0</v>
      </c>
      <c r="L278" s="145">
        <f t="shared" si="32"/>
        <v>0</v>
      </c>
      <c r="M278" s="145">
        <f t="shared" si="32"/>
        <v>0</v>
      </c>
      <c r="O278" s="145">
        <f t="shared" si="33"/>
        <v>0</v>
      </c>
      <c r="P278" s="145">
        <f t="shared" si="33"/>
        <v>0</v>
      </c>
      <c r="Q278" s="145">
        <f t="shared" si="33"/>
        <v>0</v>
      </c>
      <c r="S278" s="145">
        <f t="shared" si="34"/>
        <v>0</v>
      </c>
      <c r="T278" s="145">
        <f t="shared" si="34"/>
        <v>0</v>
      </c>
      <c r="U278" s="145">
        <f t="shared" si="34"/>
        <v>0</v>
      </c>
    </row>
    <row r="279" spans="2:21" ht="12" hidden="1" customHeight="1" outlineLevel="2">
      <c r="B279">
        <f t="shared" si="26"/>
        <v>60</v>
      </c>
      <c r="C279" s="73" t="str">
        <v>SpareOfferB25</v>
      </c>
      <c r="D279" t="s">
        <v>170</v>
      </c>
      <c r="F279" s="225">
        <f t="shared" si="30"/>
        <v>0</v>
      </c>
      <c r="H279" s="145">
        <f t="shared" si="32"/>
        <v>0</v>
      </c>
      <c r="I279" s="145">
        <f t="shared" si="32"/>
        <v>0</v>
      </c>
      <c r="J279" s="145">
        <f t="shared" si="32"/>
        <v>0</v>
      </c>
      <c r="K279" s="145">
        <f t="shared" si="32"/>
        <v>0</v>
      </c>
      <c r="L279" s="145">
        <f t="shared" si="32"/>
        <v>0</v>
      </c>
      <c r="M279" s="145">
        <f t="shared" si="32"/>
        <v>0</v>
      </c>
      <c r="O279" s="145">
        <f t="shared" si="33"/>
        <v>0</v>
      </c>
      <c r="P279" s="145">
        <f t="shared" si="33"/>
        <v>0</v>
      </c>
      <c r="Q279" s="145">
        <f t="shared" si="33"/>
        <v>0</v>
      </c>
      <c r="S279" s="145">
        <f t="shared" si="34"/>
        <v>0</v>
      </c>
      <c r="T279" s="145">
        <f t="shared" si="34"/>
        <v>0</v>
      </c>
      <c r="U279" s="145">
        <f t="shared" si="34"/>
        <v>0</v>
      </c>
    </row>
    <row r="280" spans="2:21" ht="12" hidden="1" customHeight="1" outlineLevel="2">
      <c r="B280">
        <f t="shared" si="26"/>
        <v>61</v>
      </c>
      <c r="C280" s="73" t="str">
        <v>SpareOfferB26</v>
      </c>
      <c r="D280" t="s">
        <v>170</v>
      </c>
      <c r="F280" s="225">
        <f t="shared" si="30"/>
        <v>0</v>
      </c>
      <c r="H280" s="145">
        <f t="shared" si="32"/>
        <v>0</v>
      </c>
      <c r="I280" s="145">
        <f t="shared" si="32"/>
        <v>0</v>
      </c>
      <c r="J280" s="145">
        <f t="shared" si="32"/>
        <v>0</v>
      </c>
      <c r="K280" s="145">
        <f t="shared" si="32"/>
        <v>0</v>
      </c>
      <c r="L280" s="145">
        <f t="shared" si="32"/>
        <v>0</v>
      </c>
      <c r="M280" s="145">
        <f t="shared" si="32"/>
        <v>0</v>
      </c>
      <c r="O280" s="145">
        <f t="shared" si="33"/>
        <v>0</v>
      </c>
      <c r="P280" s="145">
        <f t="shared" si="33"/>
        <v>0</v>
      </c>
      <c r="Q280" s="145">
        <f t="shared" si="33"/>
        <v>0</v>
      </c>
      <c r="S280" s="145">
        <f t="shared" si="34"/>
        <v>0</v>
      </c>
      <c r="T280" s="145">
        <f t="shared" si="34"/>
        <v>0</v>
      </c>
      <c r="U280" s="145">
        <f t="shared" si="34"/>
        <v>0</v>
      </c>
    </row>
    <row r="281" spans="2:21" ht="12" hidden="1" customHeight="1" outlineLevel="2">
      <c r="B281">
        <f t="shared" si="26"/>
        <v>62</v>
      </c>
      <c r="C281" s="73" t="str">
        <v>SpareOfferB27</v>
      </c>
      <c r="D281" t="s">
        <v>170</v>
      </c>
      <c r="F281" s="225">
        <f t="shared" si="30"/>
        <v>0</v>
      </c>
      <c r="H281" s="145">
        <f t="shared" si="32"/>
        <v>0</v>
      </c>
      <c r="I281" s="145">
        <f t="shared" si="32"/>
        <v>0</v>
      </c>
      <c r="J281" s="145">
        <f t="shared" si="32"/>
        <v>0</v>
      </c>
      <c r="K281" s="145">
        <f t="shared" si="32"/>
        <v>0</v>
      </c>
      <c r="L281" s="145">
        <f t="shared" si="32"/>
        <v>0</v>
      </c>
      <c r="M281" s="145">
        <f t="shared" si="32"/>
        <v>0</v>
      </c>
      <c r="O281" s="145">
        <f t="shared" si="33"/>
        <v>0</v>
      </c>
      <c r="P281" s="145">
        <f t="shared" si="33"/>
        <v>0</v>
      </c>
      <c r="Q281" s="145">
        <f t="shared" si="33"/>
        <v>0</v>
      </c>
      <c r="S281" s="145">
        <f t="shared" si="34"/>
        <v>0</v>
      </c>
      <c r="T281" s="145">
        <f t="shared" si="34"/>
        <v>0</v>
      </c>
      <c r="U281" s="145">
        <f t="shared" si="34"/>
        <v>0</v>
      </c>
    </row>
    <row r="282" spans="2:21" ht="12" hidden="1" customHeight="1" outlineLevel="2">
      <c r="B282">
        <f t="shared" si="26"/>
        <v>63</v>
      </c>
      <c r="C282" s="73" t="str">
        <v>SpareOfferB28</v>
      </c>
      <c r="D282" t="s">
        <v>170</v>
      </c>
      <c r="F282" s="225">
        <f t="shared" si="30"/>
        <v>0</v>
      </c>
      <c r="H282" s="145">
        <f t="shared" si="32"/>
        <v>0</v>
      </c>
      <c r="I282" s="145">
        <f t="shared" si="32"/>
        <v>0</v>
      </c>
      <c r="J282" s="145">
        <f t="shared" si="32"/>
        <v>0</v>
      </c>
      <c r="K282" s="145">
        <f t="shared" si="32"/>
        <v>0</v>
      </c>
      <c r="L282" s="145">
        <f t="shared" si="32"/>
        <v>0</v>
      </c>
      <c r="M282" s="145">
        <f t="shared" si="32"/>
        <v>0</v>
      </c>
      <c r="O282" s="145">
        <f t="shared" si="33"/>
        <v>0</v>
      </c>
      <c r="P282" s="145">
        <f t="shared" si="33"/>
        <v>0</v>
      </c>
      <c r="Q282" s="145">
        <f t="shared" si="33"/>
        <v>0</v>
      </c>
      <c r="S282" s="145">
        <f t="shared" si="34"/>
        <v>0</v>
      </c>
      <c r="T282" s="145">
        <f t="shared" si="34"/>
        <v>0</v>
      </c>
      <c r="U282" s="145">
        <f t="shared" si="34"/>
        <v>0</v>
      </c>
    </row>
    <row r="283" spans="2:21" ht="12" hidden="1" customHeight="1" outlineLevel="2">
      <c r="B283">
        <f t="shared" si="26"/>
        <v>64</v>
      </c>
      <c r="C283" s="73" t="str">
        <v>SpareOfferB29</v>
      </c>
      <c r="D283" t="s">
        <v>170</v>
      </c>
      <c r="F283" s="225">
        <f t="shared" si="30"/>
        <v>0</v>
      </c>
      <c r="H283" s="145">
        <f t="shared" si="32"/>
        <v>0</v>
      </c>
      <c r="I283" s="145">
        <f t="shared" si="32"/>
        <v>0</v>
      </c>
      <c r="J283" s="145">
        <f t="shared" si="32"/>
        <v>0</v>
      </c>
      <c r="K283" s="145">
        <f t="shared" si="32"/>
        <v>0</v>
      </c>
      <c r="L283" s="145">
        <f t="shared" si="32"/>
        <v>0</v>
      </c>
      <c r="M283" s="145">
        <f t="shared" si="32"/>
        <v>0</v>
      </c>
      <c r="O283" s="145">
        <f t="shared" si="33"/>
        <v>0</v>
      </c>
      <c r="P283" s="145">
        <f t="shared" si="33"/>
        <v>0</v>
      </c>
      <c r="Q283" s="145">
        <f t="shared" si="33"/>
        <v>0</v>
      </c>
      <c r="S283" s="145">
        <f t="shared" si="34"/>
        <v>0</v>
      </c>
      <c r="T283" s="145">
        <f t="shared" si="34"/>
        <v>0</v>
      </c>
      <c r="U283" s="145">
        <f t="shared" si="34"/>
        <v>0</v>
      </c>
    </row>
    <row r="284" spans="2:21" ht="12" hidden="1" customHeight="1" outlineLevel="2">
      <c r="B284">
        <f t="shared" si="26"/>
        <v>65</v>
      </c>
      <c r="C284" s="73" t="str">
        <v>SpareOfferB30</v>
      </c>
      <c r="D284" t="s">
        <v>170</v>
      </c>
      <c r="F284" s="225">
        <f t="shared" si="30"/>
        <v>0</v>
      </c>
      <c r="H284" s="145">
        <f t="shared" si="32"/>
        <v>0</v>
      </c>
      <c r="I284" s="145">
        <f t="shared" si="32"/>
        <v>0</v>
      </c>
      <c r="J284" s="145">
        <f t="shared" si="32"/>
        <v>0</v>
      </c>
      <c r="K284" s="145">
        <f t="shared" si="32"/>
        <v>0</v>
      </c>
      <c r="L284" s="145">
        <f t="shared" si="32"/>
        <v>0</v>
      </c>
      <c r="M284" s="145">
        <f t="shared" si="32"/>
        <v>0</v>
      </c>
      <c r="O284" s="145">
        <f t="shared" si="33"/>
        <v>0</v>
      </c>
      <c r="P284" s="145">
        <f t="shared" si="33"/>
        <v>0</v>
      </c>
      <c r="Q284" s="145">
        <f t="shared" si="33"/>
        <v>0</v>
      </c>
      <c r="S284" s="145">
        <f t="shared" si="34"/>
        <v>0</v>
      </c>
      <c r="T284" s="145">
        <f t="shared" si="34"/>
        <v>0</v>
      </c>
      <c r="U284" s="145">
        <f t="shared" si="34"/>
        <v>0</v>
      </c>
    </row>
    <row r="285" spans="2:21" ht="12" hidden="1" customHeight="1" outlineLevel="2">
      <c r="B285">
        <f t="shared" si="26"/>
        <v>66</v>
      </c>
      <c r="C285" s="73" t="str">
        <v>SpareOfferB31</v>
      </c>
      <c r="D285" t="s">
        <v>170</v>
      </c>
      <c r="F285" s="225">
        <f t="shared" si="30"/>
        <v>0</v>
      </c>
      <c r="H285" s="145">
        <f t="shared" si="32"/>
        <v>0</v>
      </c>
      <c r="I285" s="145">
        <f t="shared" si="32"/>
        <v>0</v>
      </c>
      <c r="J285" s="145">
        <f t="shared" si="32"/>
        <v>0</v>
      </c>
      <c r="K285" s="145">
        <f t="shared" si="32"/>
        <v>0</v>
      </c>
      <c r="L285" s="145">
        <f t="shared" si="32"/>
        <v>0</v>
      </c>
      <c r="M285" s="145">
        <f t="shared" si="32"/>
        <v>0</v>
      </c>
      <c r="O285" s="145">
        <f t="shared" si="33"/>
        <v>0</v>
      </c>
      <c r="P285" s="145">
        <f t="shared" si="33"/>
        <v>0</v>
      </c>
      <c r="Q285" s="145">
        <f t="shared" si="33"/>
        <v>0</v>
      </c>
      <c r="S285" s="145">
        <f t="shared" si="34"/>
        <v>0</v>
      </c>
      <c r="T285" s="145">
        <f t="shared" si="34"/>
        <v>0</v>
      </c>
      <c r="U285" s="145">
        <f t="shared" si="34"/>
        <v>0</v>
      </c>
    </row>
    <row r="286" spans="2:21" ht="12" hidden="1" customHeight="1" outlineLevel="2">
      <c r="B286">
        <f t="shared" si="26"/>
        <v>67</v>
      </c>
      <c r="C286" s="73" t="str">
        <v>SpareOfferB32</v>
      </c>
      <c r="D286" t="s">
        <v>170</v>
      </c>
      <c r="F286" s="225">
        <f t="shared" si="30"/>
        <v>0</v>
      </c>
      <c r="H286" s="145">
        <f t="shared" si="32"/>
        <v>0</v>
      </c>
      <c r="I286" s="145">
        <f t="shared" si="32"/>
        <v>0</v>
      </c>
      <c r="J286" s="145">
        <f t="shared" si="32"/>
        <v>0</v>
      </c>
      <c r="K286" s="145">
        <f t="shared" si="32"/>
        <v>0</v>
      </c>
      <c r="L286" s="145">
        <f t="shared" si="32"/>
        <v>0</v>
      </c>
      <c r="M286" s="145">
        <f t="shared" si="32"/>
        <v>0</v>
      </c>
      <c r="O286" s="145">
        <f t="shared" si="33"/>
        <v>0</v>
      </c>
      <c r="P286" s="145">
        <f t="shared" si="33"/>
        <v>0</v>
      </c>
      <c r="Q286" s="145">
        <f t="shared" si="33"/>
        <v>0</v>
      </c>
      <c r="S286" s="145">
        <f t="shared" si="34"/>
        <v>0</v>
      </c>
      <c r="T286" s="145">
        <f t="shared" si="34"/>
        <v>0</v>
      </c>
      <c r="U286" s="145">
        <f t="shared" si="34"/>
        <v>0</v>
      </c>
    </row>
    <row r="287" spans="2:21" ht="12" hidden="1" customHeight="1" outlineLevel="2">
      <c r="B287">
        <f t="shared" si="26"/>
        <v>68</v>
      </c>
      <c r="C287" s="73" t="str">
        <v>SpareOfferB33</v>
      </c>
      <c r="D287" t="s">
        <v>170</v>
      </c>
      <c r="F287" s="225">
        <f t="shared" si="30"/>
        <v>0</v>
      </c>
      <c r="H287" s="145">
        <f t="shared" si="32"/>
        <v>0</v>
      </c>
      <c r="I287" s="145">
        <f t="shared" si="32"/>
        <v>0</v>
      </c>
      <c r="J287" s="145">
        <f t="shared" si="32"/>
        <v>0</v>
      </c>
      <c r="K287" s="145">
        <f t="shared" si="32"/>
        <v>0</v>
      </c>
      <c r="L287" s="145">
        <f t="shared" si="32"/>
        <v>0</v>
      </c>
      <c r="M287" s="145">
        <f t="shared" si="32"/>
        <v>0</v>
      </c>
      <c r="O287" s="145">
        <f t="shared" si="33"/>
        <v>0</v>
      </c>
      <c r="P287" s="145">
        <f t="shared" si="33"/>
        <v>0</v>
      </c>
      <c r="Q287" s="145">
        <f t="shared" si="33"/>
        <v>0</v>
      </c>
      <c r="S287" s="145">
        <f t="shared" si="34"/>
        <v>0</v>
      </c>
      <c r="T287" s="145">
        <f t="shared" si="34"/>
        <v>0</v>
      </c>
      <c r="U287" s="145">
        <f t="shared" si="34"/>
        <v>0</v>
      </c>
    </row>
    <row r="288" spans="2:21" ht="12" hidden="1" customHeight="1" outlineLevel="2">
      <c r="B288">
        <f t="shared" si="26"/>
        <v>69</v>
      </c>
      <c r="C288" s="73" t="str">
        <v>SpareOfferB34</v>
      </c>
      <c r="D288" t="s">
        <v>170</v>
      </c>
      <c r="F288" s="225">
        <f t="shared" si="30"/>
        <v>0</v>
      </c>
      <c r="H288" s="145">
        <f t="shared" si="32"/>
        <v>0</v>
      </c>
      <c r="I288" s="145">
        <f t="shared" si="32"/>
        <v>0</v>
      </c>
      <c r="J288" s="145">
        <f t="shared" si="32"/>
        <v>0</v>
      </c>
      <c r="K288" s="145">
        <f t="shared" si="32"/>
        <v>0</v>
      </c>
      <c r="L288" s="145">
        <f t="shared" si="32"/>
        <v>0</v>
      </c>
      <c r="M288" s="145">
        <f t="shared" si="32"/>
        <v>0</v>
      </c>
      <c r="O288" s="145">
        <f t="shared" si="33"/>
        <v>0</v>
      </c>
      <c r="P288" s="145">
        <f t="shared" si="33"/>
        <v>0</v>
      </c>
      <c r="Q288" s="145">
        <f t="shared" si="33"/>
        <v>0</v>
      </c>
      <c r="S288" s="145">
        <f t="shared" si="34"/>
        <v>0</v>
      </c>
      <c r="T288" s="145">
        <f t="shared" si="34"/>
        <v>0</v>
      </c>
      <c r="U288" s="145">
        <f t="shared" si="34"/>
        <v>0</v>
      </c>
    </row>
    <row r="289" spans="2:21" outlineLevel="1" collapsed="1">
      <c r="B289">
        <f t="shared" si="26"/>
        <v>70</v>
      </c>
      <c r="C289" s="73" t="str">
        <v>SpareOfferB35</v>
      </c>
      <c r="D289" t="s">
        <v>170</v>
      </c>
      <c r="F289" s="225">
        <f t="shared" si="30"/>
        <v>0</v>
      </c>
      <c r="H289" s="145">
        <f t="shared" si="32"/>
        <v>0</v>
      </c>
      <c r="I289" s="145">
        <f t="shared" si="32"/>
        <v>0</v>
      </c>
      <c r="J289" s="145">
        <f t="shared" si="32"/>
        <v>0</v>
      </c>
      <c r="K289" s="145">
        <f t="shared" si="32"/>
        <v>0</v>
      </c>
      <c r="L289" s="145">
        <f t="shared" si="32"/>
        <v>0</v>
      </c>
      <c r="M289" s="145">
        <f t="shared" si="32"/>
        <v>0</v>
      </c>
      <c r="O289" s="145">
        <f t="shared" si="33"/>
        <v>0</v>
      </c>
      <c r="P289" s="145">
        <f t="shared" si="33"/>
        <v>0</v>
      </c>
      <c r="Q289" s="145">
        <f t="shared" si="33"/>
        <v>0</v>
      </c>
      <c r="S289" s="145">
        <f t="shared" si="34"/>
        <v>0</v>
      </c>
      <c r="T289" s="145">
        <f t="shared" si="34"/>
        <v>0</v>
      </c>
      <c r="U289" s="145">
        <f t="shared" si="34"/>
        <v>0</v>
      </c>
    </row>
    <row r="290" spans="2:21" outlineLevel="1"/>
    <row r="291" spans="2:21" outlineLevel="1">
      <c r="B291" s="91" t="s">
        <v>197</v>
      </c>
      <c r="C291" s="91"/>
      <c r="H291" s="223">
        <f t="array" ref="H291:J291">Incoming.termination</f>
        <v>0</v>
      </c>
      <c r="I291" s="223">
        <v>0</v>
      </c>
      <c r="J291" s="223">
        <v>0</v>
      </c>
    </row>
    <row r="292" spans="2:21" ht="23" outlineLevel="1">
      <c r="F292" s="1" t="s">
        <v>171</v>
      </c>
      <c r="H292" s="95" t="str">
        <f t="array" ref="H292:J292">options.selected.termination</f>
        <v>Voice termination</v>
      </c>
      <c r="I292" s="95" t="str">
        <v>Message termination</v>
      </c>
      <c r="J292" s="95" t="str">
        <v>Spare 1</v>
      </c>
    </row>
    <row r="293" spans="2:21" outlineLevel="1">
      <c r="C293" s="1" t="s">
        <v>309</v>
      </c>
      <c r="D293" t="s">
        <v>170</v>
      </c>
      <c r="F293" s="146">
        <f>SUMPRODUCT(subscription.split.segment.2,F294:F328)</f>
        <v>0</v>
      </c>
      <c r="H293" s="146">
        <f>SUMPRODUCT(subscription.split.segment.2,H294:H328)</f>
        <v>0</v>
      </c>
      <c r="I293" s="146">
        <f>SUMPRODUCT(subscription.split.segment.2,I294:I328)</f>
        <v>0</v>
      </c>
      <c r="J293" s="146">
        <f>SUMPRODUCT(subscription.split.segment.2,J294:J328)</f>
        <v>0</v>
      </c>
    </row>
    <row r="294" spans="2:21" outlineLevel="1">
      <c r="B294">
        <f t="shared" ref="B294:B328" si="35">MATCH(C294,offers.segment.all,0)</f>
        <v>36</v>
      </c>
      <c r="C294" s="73" t="str">
        <f t="array" ref="C294:C328">offers.segment.2</f>
        <v>SpareOfferB1</v>
      </c>
      <c r="D294" t="s">
        <v>170</v>
      </c>
      <c r="F294" s="226">
        <f>SUM(H294:J294)</f>
        <v>0</v>
      </c>
      <c r="H294" s="161">
        <f t="shared" ref="H294:J313" si="36">INDEX(per.sub.volumes.by.demand.descriptions,$B294,MATCH(H$292,demand.descriptions.short,0))*H$291</f>
        <v>0</v>
      </c>
      <c r="I294" s="122">
        <f t="shared" ref="I294:I328" si="37">IF(wholesale.offer.type.selected=lbl.SP,0,INDEX(per.sub.revenues.by.revenues.descriptions,$B294,MATCH(I$292,revenue.descriptions.short,0)))</f>
        <v>0</v>
      </c>
      <c r="J294" s="161">
        <f t="shared" si="36"/>
        <v>0</v>
      </c>
    </row>
    <row r="295" spans="2:21" hidden="1" outlineLevel="2">
      <c r="B295">
        <f t="shared" si="35"/>
        <v>37</v>
      </c>
      <c r="C295" s="73" t="str">
        <v>SpareOfferB2</v>
      </c>
      <c r="D295" t="s">
        <v>170</v>
      </c>
      <c r="F295" s="226">
        <f t="shared" ref="F295:F328" si="38">SUM(H295:J295)</f>
        <v>0</v>
      </c>
      <c r="H295" s="161">
        <f t="shared" si="36"/>
        <v>0</v>
      </c>
      <c r="I295" s="122">
        <f t="shared" si="37"/>
        <v>0</v>
      </c>
      <c r="J295" s="161">
        <f t="shared" si="36"/>
        <v>0</v>
      </c>
    </row>
    <row r="296" spans="2:21" hidden="1" outlineLevel="2">
      <c r="B296">
        <f t="shared" si="35"/>
        <v>38</v>
      </c>
      <c r="C296" s="73" t="str">
        <v>SpareOfferB3</v>
      </c>
      <c r="D296" t="s">
        <v>170</v>
      </c>
      <c r="F296" s="226">
        <f t="shared" si="38"/>
        <v>0</v>
      </c>
      <c r="H296" s="161">
        <f t="shared" si="36"/>
        <v>0</v>
      </c>
      <c r="I296" s="122">
        <f t="shared" si="37"/>
        <v>0</v>
      </c>
      <c r="J296" s="161">
        <f t="shared" si="36"/>
        <v>0</v>
      </c>
    </row>
    <row r="297" spans="2:21" hidden="1" outlineLevel="2">
      <c r="B297">
        <f t="shared" si="35"/>
        <v>39</v>
      </c>
      <c r="C297" s="73" t="str">
        <v>SpareOfferB4</v>
      </c>
      <c r="D297" t="s">
        <v>170</v>
      </c>
      <c r="F297" s="226">
        <f t="shared" si="38"/>
        <v>0</v>
      </c>
      <c r="H297" s="161">
        <f t="shared" si="36"/>
        <v>0</v>
      </c>
      <c r="I297" s="122">
        <f t="shared" si="37"/>
        <v>0</v>
      </c>
      <c r="J297" s="161">
        <f t="shared" si="36"/>
        <v>0</v>
      </c>
    </row>
    <row r="298" spans="2:21" hidden="1" outlineLevel="2">
      <c r="B298">
        <f t="shared" si="35"/>
        <v>40</v>
      </c>
      <c r="C298" s="73" t="str">
        <v>SpareOfferB5</v>
      </c>
      <c r="D298" t="s">
        <v>170</v>
      </c>
      <c r="F298" s="226">
        <f t="shared" si="38"/>
        <v>0</v>
      </c>
      <c r="H298" s="161">
        <f t="shared" si="36"/>
        <v>0</v>
      </c>
      <c r="I298" s="122">
        <f t="shared" si="37"/>
        <v>0</v>
      </c>
      <c r="J298" s="161">
        <f t="shared" si="36"/>
        <v>0</v>
      </c>
    </row>
    <row r="299" spans="2:21" hidden="1" outlineLevel="2">
      <c r="B299">
        <f t="shared" si="35"/>
        <v>41</v>
      </c>
      <c r="C299" s="73" t="str">
        <v>SpareOfferB6</v>
      </c>
      <c r="D299" t="s">
        <v>170</v>
      </c>
      <c r="F299" s="226">
        <f t="shared" si="38"/>
        <v>0</v>
      </c>
      <c r="H299" s="161">
        <f t="shared" si="36"/>
        <v>0</v>
      </c>
      <c r="I299" s="122">
        <f t="shared" si="37"/>
        <v>0</v>
      </c>
      <c r="J299" s="161">
        <f t="shared" si="36"/>
        <v>0</v>
      </c>
    </row>
    <row r="300" spans="2:21" hidden="1" outlineLevel="2">
      <c r="B300">
        <f t="shared" si="35"/>
        <v>42</v>
      </c>
      <c r="C300" s="73" t="str">
        <v>SpareOfferB7</v>
      </c>
      <c r="D300" t="s">
        <v>170</v>
      </c>
      <c r="F300" s="226">
        <f t="shared" si="38"/>
        <v>0</v>
      </c>
      <c r="H300" s="161">
        <f t="shared" si="36"/>
        <v>0</v>
      </c>
      <c r="I300" s="122">
        <f t="shared" si="37"/>
        <v>0</v>
      </c>
      <c r="J300" s="161">
        <f t="shared" si="36"/>
        <v>0</v>
      </c>
    </row>
    <row r="301" spans="2:21" hidden="1" outlineLevel="2">
      <c r="B301">
        <f t="shared" si="35"/>
        <v>43</v>
      </c>
      <c r="C301" s="73" t="str">
        <v>SpareOfferB8</v>
      </c>
      <c r="D301" t="s">
        <v>170</v>
      </c>
      <c r="F301" s="226">
        <f t="shared" si="38"/>
        <v>0</v>
      </c>
      <c r="H301" s="161">
        <f t="shared" si="36"/>
        <v>0</v>
      </c>
      <c r="I301" s="122">
        <f t="shared" si="37"/>
        <v>0</v>
      </c>
      <c r="J301" s="161">
        <f t="shared" si="36"/>
        <v>0</v>
      </c>
    </row>
    <row r="302" spans="2:21" hidden="1" outlineLevel="2">
      <c r="B302">
        <f t="shared" si="35"/>
        <v>44</v>
      </c>
      <c r="C302" s="73" t="str">
        <v>SpareOfferB9</v>
      </c>
      <c r="D302" t="s">
        <v>170</v>
      </c>
      <c r="F302" s="226">
        <f t="shared" si="38"/>
        <v>0</v>
      </c>
      <c r="H302" s="161">
        <f t="shared" si="36"/>
        <v>0</v>
      </c>
      <c r="I302" s="122">
        <f t="shared" si="37"/>
        <v>0</v>
      </c>
      <c r="J302" s="161">
        <f t="shared" si="36"/>
        <v>0</v>
      </c>
    </row>
    <row r="303" spans="2:21" hidden="1" outlineLevel="2">
      <c r="B303">
        <f t="shared" si="35"/>
        <v>45</v>
      </c>
      <c r="C303" s="73" t="str">
        <v>SpareOfferB10</v>
      </c>
      <c r="D303" t="s">
        <v>170</v>
      </c>
      <c r="F303" s="226">
        <f t="shared" si="38"/>
        <v>0</v>
      </c>
      <c r="H303" s="161">
        <f t="shared" si="36"/>
        <v>0</v>
      </c>
      <c r="I303" s="122">
        <f t="shared" si="37"/>
        <v>0</v>
      </c>
      <c r="J303" s="161">
        <f t="shared" si="36"/>
        <v>0</v>
      </c>
    </row>
    <row r="304" spans="2:21" hidden="1" outlineLevel="2">
      <c r="B304">
        <f t="shared" si="35"/>
        <v>46</v>
      </c>
      <c r="C304" s="73" t="str">
        <v>SpareOfferB11</v>
      </c>
      <c r="D304" t="s">
        <v>170</v>
      </c>
      <c r="F304" s="226">
        <f t="shared" si="38"/>
        <v>0</v>
      </c>
      <c r="H304" s="161">
        <f t="shared" si="36"/>
        <v>0</v>
      </c>
      <c r="I304" s="122">
        <f t="shared" si="37"/>
        <v>0</v>
      </c>
      <c r="J304" s="161">
        <f t="shared" si="36"/>
        <v>0</v>
      </c>
    </row>
    <row r="305" spans="2:10" hidden="1" outlineLevel="2">
      <c r="B305">
        <f t="shared" si="35"/>
        <v>47</v>
      </c>
      <c r="C305" s="73" t="str">
        <v>SpareOfferB12</v>
      </c>
      <c r="D305" t="s">
        <v>170</v>
      </c>
      <c r="F305" s="226">
        <f t="shared" si="38"/>
        <v>0</v>
      </c>
      <c r="H305" s="161">
        <f t="shared" si="36"/>
        <v>0</v>
      </c>
      <c r="I305" s="122">
        <f t="shared" si="37"/>
        <v>0</v>
      </c>
      <c r="J305" s="161">
        <f t="shared" si="36"/>
        <v>0</v>
      </c>
    </row>
    <row r="306" spans="2:10" hidden="1" outlineLevel="2">
      <c r="B306">
        <f t="shared" si="35"/>
        <v>48</v>
      </c>
      <c r="C306" s="73" t="str">
        <v>SpareOfferB13</v>
      </c>
      <c r="D306" t="s">
        <v>170</v>
      </c>
      <c r="F306" s="226">
        <f t="shared" si="38"/>
        <v>0</v>
      </c>
      <c r="H306" s="161">
        <f t="shared" si="36"/>
        <v>0</v>
      </c>
      <c r="I306" s="122">
        <f t="shared" si="37"/>
        <v>0</v>
      </c>
      <c r="J306" s="161">
        <f t="shared" si="36"/>
        <v>0</v>
      </c>
    </row>
    <row r="307" spans="2:10" hidden="1" outlineLevel="2">
      <c r="B307">
        <f t="shared" si="35"/>
        <v>49</v>
      </c>
      <c r="C307" s="73" t="str">
        <v>SpareOfferB14</v>
      </c>
      <c r="D307" t="s">
        <v>170</v>
      </c>
      <c r="F307" s="226">
        <f t="shared" si="38"/>
        <v>0</v>
      </c>
      <c r="H307" s="161">
        <f t="shared" si="36"/>
        <v>0</v>
      </c>
      <c r="I307" s="122">
        <f t="shared" si="37"/>
        <v>0</v>
      </c>
      <c r="J307" s="161">
        <f t="shared" si="36"/>
        <v>0</v>
      </c>
    </row>
    <row r="308" spans="2:10" hidden="1" outlineLevel="2">
      <c r="B308">
        <f t="shared" si="35"/>
        <v>50</v>
      </c>
      <c r="C308" s="73" t="str">
        <v>SpareOfferB15</v>
      </c>
      <c r="D308" t="s">
        <v>170</v>
      </c>
      <c r="F308" s="226">
        <f t="shared" si="38"/>
        <v>0</v>
      </c>
      <c r="H308" s="161">
        <f t="shared" si="36"/>
        <v>0</v>
      </c>
      <c r="I308" s="122">
        <f t="shared" si="37"/>
        <v>0</v>
      </c>
      <c r="J308" s="161">
        <f t="shared" si="36"/>
        <v>0</v>
      </c>
    </row>
    <row r="309" spans="2:10" hidden="1" outlineLevel="2">
      <c r="B309">
        <f t="shared" si="35"/>
        <v>51</v>
      </c>
      <c r="C309" s="73" t="str">
        <v>SpareOfferB16</v>
      </c>
      <c r="D309" t="s">
        <v>170</v>
      </c>
      <c r="F309" s="226">
        <f t="shared" si="38"/>
        <v>0</v>
      </c>
      <c r="H309" s="161">
        <f t="shared" si="36"/>
        <v>0</v>
      </c>
      <c r="I309" s="122">
        <f t="shared" si="37"/>
        <v>0</v>
      </c>
      <c r="J309" s="161">
        <f t="shared" si="36"/>
        <v>0</v>
      </c>
    </row>
    <row r="310" spans="2:10" hidden="1" outlineLevel="2">
      <c r="B310">
        <f t="shared" si="35"/>
        <v>52</v>
      </c>
      <c r="C310" s="73" t="str">
        <v>SpareOfferB17</v>
      </c>
      <c r="D310" t="s">
        <v>170</v>
      </c>
      <c r="F310" s="226">
        <f t="shared" si="38"/>
        <v>0</v>
      </c>
      <c r="H310" s="161">
        <f t="shared" si="36"/>
        <v>0</v>
      </c>
      <c r="I310" s="122">
        <f t="shared" si="37"/>
        <v>0</v>
      </c>
      <c r="J310" s="161">
        <f t="shared" si="36"/>
        <v>0</v>
      </c>
    </row>
    <row r="311" spans="2:10" hidden="1" outlineLevel="2">
      <c r="B311">
        <f t="shared" si="35"/>
        <v>53</v>
      </c>
      <c r="C311" s="73" t="str">
        <v>SpareOfferB18</v>
      </c>
      <c r="D311" t="s">
        <v>170</v>
      </c>
      <c r="F311" s="226">
        <f t="shared" si="38"/>
        <v>0</v>
      </c>
      <c r="H311" s="161">
        <f t="shared" si="36"/>
        <v>0</v>
      </c>
      <c r="I311" s="122">
        <f t="shared" si="37"/>
        <v>0</v>
      </c>
      <c r="J311" s="161">
        <f t="shared" si="36"/>
        <v>0</v>
      </c>
    </row>
    <row r="312" spans="2:10" hidden="1" outlineLevel="2">
      <c r="B312">
        <f t="shared" si="35"/>
        <v>54</v>
      </c>
      <c r="C312" s="73" t="str">
        <v>SpareOfferB19</v>
      </c>
      <c r="D312" t="s">
        <v>170</v>
      </c>
      <c r="F312" s="226">
        <f t="shared" si="38"/>
        <v>0</v>
      </c>
      <c r="H312" s="161">
        <f t="shared" si="36"/>
        <v>0</v>
      </c>
      <c r="I312" s="122">
        <f t="shared" si="37"/>
        <v>0</v>
      </c>
      <c r="J312" s="161">
        <f t="shared" si="36"/>
        <v>0</v>
      </c>
    </row>
    <row r="313" spans="2:10" hidden="1" outlineLevel="2">
      <c r="B313">
        <f t="shared" si="35"/>
        <v>55</v>
      </c>
      <c r="C313" s="73" t="str">
        <v>SpareOfferB20</v>
      </c>
      <c r="D313" t="s">
        <v>170</v>
      </c>
      <c r="F313" s="226">
        <f t="shared" si="38"/>
        <v>0</v>
      </c>
      <c r="H313" s="161">
        <f t="shared" si="36"/>
        <v>0</v>
      </c>
      <c r="I313" s="122">
        <f t="shared" si="37"/>
        <v>0</v>
      </c>
      <c r="J313" s="161">
        <f t="shared" si="36"/>
        <v>0</v>
      </c>
    </row>
    <row r="314" spans="2:10" hidden="1" outlineLevel="2">
      <c r="B314">
        <f t="shared" si="35"/>
        <v>56</v>
      </c>
      <c r="C314" s="73" t="str">
        <v>SpareOfferB21</v>
      </c>
      <c r="D314" t="s">
        <v>170</v>
      </c>
      <c r="F314" s="226">
        <f t="shared" si="38"/>
        <v>0</v>
      </c>
      <c r="H314" s="161">
        <f t="shared" ref="H314:J328" si="39">INDEX(per.sub.volumes.by.demand.descriptions,$B314,MATCH(H$292,demand.descriptions.short,0))*H$291</f>
        <v>0</v>
      </c>
      <c r="I314" s="122">
        <f t="shared" si="37"/>
        <v>0</v>
      </c>
      <c r="J314" s="161">
        <f t="shared" si="39"/>
        <v>0</v>
      </c>
    </row>
    <row r="315" spans="2:10" hidden="1" outlineLevel="2">
      <c r="B315">
        <f t="shared" si="35"/>
        <v>57</v>
      </c>
      <c r="C315" s="73" t="str">
        <v>SpareOfferB22</v>
      </c>
      <c r="D315" t="s">
        <v>170</v>
      </c>
      <c r="F315" s="226">
        <f t="shared" si="38"/>
        <v>0</v>
      </c>
      <c r="H315" s="161">
        <f t="shared" si="39"/>
        <v>0</v>
      </c>
      <c r="I315" s="122">
        <f t="shared" si="37"/>
        <v>0</v>
      </c>
      <c r="J315" s="161">
        <f t="shared" si="39"/>
        <v>0</v>
      </c>
    </row>
    <row r="316" spans="2:10" hidden="1" outlineLevel="2">
      <c r="B316">
        <f t="shared" si="35"/>
        <v>58</v>
      </c>
      <c r="C316" s="73" t="str">
        <v>SpareOfferB23</v>
      </c>
      <c r="D316" t="s">
        <v>170</v>
      </c>
      <c r="F316" s="226">
        <f t="shared" si="38"/>
        <v>0</v>
      </c>
      <c r="H316" s="161">
        <f t="shared" si="39"/>
        <v>0</v>
      </c>
      <c r="I316" s="122">
        <f t="shared" si="37"/>
        <v>0</v>
      </c>
      <c r="J316" s="161">
        <f t="shared" si="39"/>
        <v>0</v>
      </c>
    </row>
    <row r="317" spans="2:10" hidden="1" outlineLevel="2">
      <c r="B317">
        <f t="shared" si="35"/>
        <v>59</v>
      </c>
      <c r="C317" s="73" t="str">
        <v>SpareOfferB24</v>
      </c>
      <c r="D317" t="s">
        <v>170</v>
      </c>
      <c r="F317" s="226">
        <f t="shared" si="38"/>
        <v>0</v>
      </c>
      <c r="H317" s="161">
        <f t="shared" si="39"/>
        <v>0</v>
      </c>
      <c r="I317" s="122">
        <f t="shared" si="37"/>
        <v>0</v>
      </c>
      <c r="J317" s="161">
        <f t="shared" si="39"/>
        <v>0</v>
      </c>
    </row>
    <row r="318" spans="2:10" hidden="1" outlineLevel="2">
      <c r="B318">
        <f t="shared" si="35"/>
        <v>60</v>
      </c>
      <c r="C318" s="73" t="str">
        <v>SpareOfferB25</v>
      </c>
      <c r="D318" t="s">
        <v>170</v>
      </c>
      <c r="F318" s="226">
        <f t="shared" si="38"/>
        <v>0</v>
      </c>
      <c r="H318" s="161">
        <f t="shared" si="39"/>
        <v>0</v>
      </c>
      <c r="I318" s="122">
        <f t="shared" si="37"/>
        <v>0</v>
      </c>
      <c r="J318" s="161">
        <f t="shared" si="39"/>
        <v>0</v>
      </c>
    </row>
    <row r="319" spans="2:10" hidden="1" outlineLevel="2">
      <c r="B319">
        <f t="shared" si="35"/>
        <v>61</v>
      </c>
      <c r="C319" s="73" t="str">
        <v>SpareOfferB26</v>
      </c>
      <c r="D319" t="s">
        <v>170</v>
      </c>
      <c r="F319" s="226">
        <f t="shared" si="38"/>
        <v>0</v>
      </c>
      <c r="H319" s="161">
        <f t="shared" si="39"/>
        <v>0</v>
      </c>
      <c r="I319" s="122">
        <f t="shared" si="37"/>
        <v>0</v>
      </c>
      <c r="J319" s="161">
        <f t="shared" si="39"/>
        <v>0</v>
      </c>
    </row>
    <row r="320" spans="2:10" hidden="1" outlineLevel="2">
      <c r="B320">
        <f t="shared" si="35"/>
        <v>62</v>
      </c>
      <c r="C320" s="73" t="str">
        <v>SpareOfferB27</v>
      </c>
      <c r="D320" t="s">
        <v>170</v>
      </c>
      <c r="F320" s="226">
        <f t="shared" si="38"/>
        <v>0</v>
      </c>
      <c r="H320" s="161">
        <f t="shared" si="39"/>
        <v>0</v>
      </c>
      <c r="I320" s="122">
        <f t="shared" si="37"/>
        <v>0</v>
      </c>
      <c r="J320" s="161">
        <f t="shared" si="39"/>
        <v>0</v>
      </c>
    </row>
    <row r="321" spans="1:10" hidden="1" outlineLevel="2">
      <c r="B321">
        <f t="shared" si="35"/>
        <v>63</v>
      </c>
      <c r="C321" s="73" t="str">
        <v>SpareOfferB28</v>
      </c>
      <c r="D321" t="s">
        <v>170</v>
      </c>
      <c r="F321" s="226">
        <f t="shared" si="38"/>
        <v>0</v>
      </c>
      <c r="H321" s="161">
        <f t="shared" si="39"/>
        <v>0</v>
      </c>
      <c r="I321" s="122">
        <f t="shared" si="37"/>
        <v>0</v>
      </c>
      <c r="J321" s="161">
        <f t="shared" si="39"/>
        <v>0</v>
      </c>
    </row>
    <row r="322" spans="1:10" hidden="1" outlineLevel="2">
      <c r="B322">
        <f t="shared" si="35"/>
        <v>64</v>
      </c>
      <c r="C322" s="73" t="str">
        <v>SpareOfferB29</v>
      </c>
      <c r="D322" t="s">
        <v>170</v>
      </c>
      <c r="F322" s="226">
        <f t="shared" si="38"/>
        <v>0</v>
      </c>
      <c r="H322" s="161">
        <f t="shared" si="39"/>
        <v>0</v>
      </c>
      <c r="I322" s="122">
        <f t="shared" si="37"/>
        <v>0</v>
      </c>
      <c r="J322" s="161">
        <f t="shared" si="39"/>
        <v>0</v>
      </c>
    </row>
    <row r="323" spans="1:10" hidden="1" outlineLevel="2">
      <c r="B323">
        <f t="shared" si="35"/>
        <v>65</v>
      </c>
      <c r="C323" s="73" t="str">
        <v>SpareOfferB30</v>
      </c>
      <c r="D323" t="s">
        <v>170</v>
      </c>
      <c r="F323" s="226">
        <f t="shared" si="38"/>
        <v>0</v>
      </c>
      <c r="H323" s="161">
        <f t="shared" si="39"/>
        <v>0</v>
      </c>
      <c r="I323" s="122">
        <f t="shared" si="37"/>
        <v>0</v>
      </c>
      <c r="J323" s="161">
        <f t="shared" si="39"/>
        <v>0</v>
      </c>
    </row>
    <row r="324" spans="1:10" hidden="1" outlineLevel="2">
      <c r="B324">
        <f t="shared" si="35"/>
        <v>66</v>
      </c>
      <c r="C324" s="73" t="str">
        <v>SpareOfferB31</v>
      </c>
      <c r="D324" t="s">
        <v>170</v>
      </c>
      <c r="F324" s="226">
        <f t="shared" si="38"/>
        <v>0</v>
      </c>
      <c r="H324" s="161">
        <f t="shared" si="39"/>
        <v>0</v>
      </c>
      <c r="I324" s="122">
        <f t="shared" si="37"/>
        <v>0</v>
      </c>
      <c r="J324" s="161">
        <f t="shared" si="39"/>
        <v>0</v>
      </c>
    </row>
    <row r="325" spans="1:10" hidden="1" outlineLevel="2">
      <c r="B325">
        <f t="shared" si="35"/>
        <v>67</v>
      </c>
      <c r="C325" s="73" t="str">
        <v>SpareOfferB32</v>
      </c>
      <c r="D325" t="s">
        <v>170</v>
      </c>
      <c r="F325" s="226">
        <f t="shared" si="38"/>
        <v>0</v>
      </c>
      <c r="H325" s="161">
        <f t="shared" si="39"/>
        <v>0</v>
      </c>
      <c r="I325" s="122">
        <f t="shared" si="37"/>
        <v>0</v>
      </c>
      <c r="J325" s="161">
        <f t="shared" si="39"/>
        <v>0</v>
      </c>
    </row>
    <row r="326" spans="1:10" hidden="1" outlineLevel="2">
      <c r="B326">
        <f t="shared" si="35"/>
        <v>68</v>
      </c>
      <c r="C326" s="73" t="str">
        <v>SpareOfferB33</v>
      </c>
      <c r="D326" t="s">
        <v>170</v>
      </c>
      <c r="F326" s="226">
        <f t="shared" si="38"/>
        <v>0</v>
      </c>
      <c r="H326" s="161">
        <f t="shared" si="39"/>
        <v>0</v>
      </c>
      <c r="I326" s="122">
        <f t="shared" si="37"/>
        <v>0</v>
      </c>
      <c r="J326" s="161">
        <f t="shared" si="39"/>
        <v>0</v>
      </c>
    </row>
    <row r="327" spans="1:10" hidden="1" outlineLevel="2">
      <c r="B327">
        <f t="shared" si="35"/>
        <v>69</v>
      </c>
      <c r="C327" s="73" t="str">
        <v>SpareOfferB34</v>
      </c>
      <c r="D327" t="s">
        <v>170</v>
      </c>
      <c r="F327" s="226">
        <f t="shared" si="38"/>
        <v>0</v>
      </c>
      <c r="H327" s="161">
        <f t="shared" si="39"/>
        <v>0</v>
      </c>
      <c r="I327" s="122">
        <f t="shared" si="37"/>
        <v>0</v>
      </c>
      <c r="J327" s="161">
        <f t="shared" si="39"/>
        <v>0</v>
      </c>
    </row>
    <row r="328" spans="1:10" outlineLevel="1" collapsed="1">
      <c r="B328">
        <f t="shared" si="35"/>
        <v>70</v>
      </c>
      <c r="C328" s="73" t="str">
        <v>SpareOfferB35</v>
      </c>
      <c r="D328" t="s">
        <v>170</v>
      </c>
      <c r="F328" s="226">
        <f t="shared" si="38"/>
        <v>0</v>
      </c>
      <c r="H328" s="161">
        <f t="shared" si="39"/>
        <v>0</v>
      </c>
      <c r="I328" s="122">
        <f t="shared" si="37"/>
        <v>0</v>
      </c>
      <c r="J328" s="161">
        <f t="shared" si="39"/>
        <v>0</v>
      </c>
    </row>
    <row r="329" spans="1:10" outlineLevel="1" collapsed="1"/>
    <row r="330" spans="1:10" s="220" customFormat="1">
      <c r="A330" s="220">
        <v>3</v>
      </c>
      <c r="B330" s="221" t="str">
        <f>INDEX(segments,A330)</f>
        <v>SpareSegmentC</v>
      </c>
      <c r="C330" s="207"/>
    </row>
    <row r="331" spans="1:10" outlineLevel="1"/>
    <row r="332" spans="1:10" outlineLevel="1">
      <c r="B332" s="91" t="s">
        <v>388</v>
      </c>
      <c r="F332" s="1" t="s">
        <v>171</v>
      </c>
    </row>
    <row r="333" spans="1:10" outlineLevel="1">
      <c r="C333" s="1" t="s">
        <v>309</v>
      </c>
      <c r="D333" s="93" t="s">
        <v>196</v>
      </c>
      <c r="F333" s="146">
        <f>SUMPRODUCT(subscription.split.segment.3,F334:F368)</f>
        <v>0</v>
      </c>
    </row>
    <row r="334" spans="1:10" outlineLevel="1">
      <c r="C334" s="73" t="str">
        <f t="array" ref="C334:C368">offers.segment.3</f>
        <v>SpareOfferC1</v>
      </c>
      <c r="D334" t="s">
        <v>170</v>
      </c>
      <c r="F334" s="148">
        <f>F374+F413+F452</f>
        <v>0</v>
      </c>
    </row>
    <row r="335" spans="1:10" hidden="1" outlineLevel="2">
      <c r="C335" s="73" t="str">
        <v>SpareOfferC2</v>
      </c>
      <c r="D335" t="s">
        <v>170</v>
      </c>
      <c r="F335" s="148">
        <f t="shared" ref="F335:F368" si="40">F375+F414+F453</f>
        <v>0</v>
      </c>
    </row>
    <row r="336" spans="1:10" hidden="1" outlineLevel="2">
      <c r="C336" s="73" t="str">
        <v>SpareOfferC3</v>
      </c>
      <c r="D336" t="s">
        <v>170</v>
      </c>
      <c r="F336" s="148">
        <f t="shared" si="40"/>
        <v>0</v>
      </c>
    </row>
    <row r="337" spans="3:6" hidden="1" outlineLevel="2">
      <c r="C337" s="73" t="str">
        <v>SpareOfferC4</v>
      </c>
      <c r="D337" t="s">
        <v>170</v>
      </c>
      <c r="F337" s="148">
        <f t="shared" si="40"/>
        <v>0</v>
      </c>
    </row>
    <row r="338" spans="3:6" hidden="1" outlineLevel="2">
      <c r="C338" s="73" t="str">
        <v>SpareOfferC5</v>
      </c>
      <c r="D338" t="s">
        <v>170</v>
      </c>
      <c r="F338" s="148">
        <f t="shared" si="40"/>
        <v>0</v>
      </c>
    </row>
    <row r="339" spans="3:6" hidden="1" outlineLevel="2">
      <c r="C339" s="73" t="str">
        <v>SpareOfferC6</v>
      </c>
      <c r="D339" t="s">
        <v>170</v>
      </c>
      <c r="F339" s="148">
        <f t="shared" si="40"/>
        <v>0</v>
      </c>
    </row>
    <row r="340" spans="3:6" hidden="1" outlineLevel="2">
      <c r="C340" s="73" t="str">
        <v>SpareOfferC7</v>
      </c>
      <c r="D340" t="s">
        <v>170</v>
      </c>
      <c r="F340" s="148">
        <f t="shared" si="40"/>
        <v>0</v>
      </c>
    </row>
    <row r="341" spans="3:6" hidden="1" outlineLevel="2">
      <c r="C341" s="73" t="str">
        <v>SpareOfferC8</v>
      </c>
      <c r="D341" t="s">
        <v>170</v>
      </c>
      <c r="F341" s="148">
        <f t="shared" si="40"/>
        <v>0</v>
      </c>
    </row>
    <row r="342" spans="3:6" hidden="1" outlineLevel="2">
      <c r="C342" s="73" t="str">
        <v>SpareOfferC9</v>
      </c>
      <c r="D342" t="s">
        <v>170</v>
      </c>
      <c r="F342" s="148">
        <f t="shared" si="40"/>
        <v>0</v>
      </c>
    </row>
    <row r="343" spans="3:6" hidden="1" outlineLevel="2">
      <c r="C343" s="73" t="str">
        <v>SpareOfferC10</v>
      </c>
      <c r="D343" t="s">
        <v>170</v>
      </c>
      <c r="F343" s="148">
        <f t="shared" si="40"/>
        <v>0</v>
      </c>
    </row>
    <row r="344" spans="3:6" hidden="1" outlineLevel="2">
      <c r="C344" s="73" t="str">
        <v>SpareOfferC11</v>
      </c>
      <c r="D344" t="s">
        <v>170</v>
      </c>
      <c r="F344" s="148">
        <f t="shared" si="40"/>
        <v>0</v>
      </c>
    </row>
    <row r="345" spans="3:6" hidden="1" outlineLevel="2">
      <c r="C345" s="73" t="str">
        <v>SpareOfferC12</v>
      </c>
      <c r="D345" t="s">
        <v>170</v>
      </c>
      <c r="F345" s="148">
        <f t="shared" si="40"/>
        <v>0</v>
      </c>
    </row>
    <row r="346" spans="3:6" hidden="1" outlineLevel="2">
      <c r="C346" s="73" t="str">
        <v>SpareOfferC13</v>
      </c>
      <c r="D346" t="s">
        <v>170</v>
      </c>
      <c r="F346" s="148">
        <f t="shared" si="40"/>
        <v>0</v>
      </c>
    </row>
    <row r="347" spans="3:6" hidden="1" outlineLevel="2">
      <c r="C347" s="73" t="str">
        <v>SpareOfferC14</v>
      </c>
      <c r="D347" t="s">
        <v>170</v>
      </c>
      <c r="F347" s="148">
        <f t="shared" si="40"/>
        <v>0</v>
      </c>
    </row>
    <row r="348" spans="3:6" hidden="1" outlineLevel="2">
      <c r="C348" s="73" t="str">
        <v>SpareOfferC15</v>
      </c>
      <c r="D348" t="s">
        <v>170</v>
      </c>
      <c r="F348" s="148">
        <f t="shared" si="40"/>
        <v>0</v>
      </c>
    </row>
    <row r="349" spans="3:6" hidden="1" outlineLevel="2">
      <c r="C349" s="73" t="str">
        <v>SpareOfferC16</v>
      </c>
      <c r="D349" t="s">
        <v>170</v>
      </c>
      <c r="F349" s="148">
        <f t="shared" si="40"/>
        <v>0</v>
      </c>
    </row>
    <row r="350" spans="3:6" hidden="1" outlineLevel="2">
      <c r="C350" s="73" t="str">
        <v>SpareOfferC17</v>
      </c>
      <c r="D350" t="s">
        <v>170</v>
      </c>
      <c r="F350" s="148">
        <f t="shared" si="40"/>
        <v>0</v>
      </c>
    </row>
    <row r="351" spans="3:6" hidden="1" outlineLevel="2">
      <c r="C351" s="73" t="str">
        <v>SpareOfferC18</v>
      </c>
      <c r="D351" t="s">
        <v>170</v>
      </c>
      <c r="F351" s="148">
        <f t="shared" si="40"/>
        <v>0</v>
      </c>
    </row>
    <row r="352" spans="3:6" hidden="1" outlineLevel="2">
      <c r="C352" s="73" t="str">
        <v>SpareOfferC19</v>
      </c>
      <c r="D352" t="s">
        <v>170</v>
      </c>
      <c r="F352" s="148">
        <f t="shared" si="40"/>
        <v>0</v>
      </c>
    </row>
    <row r="353" spans="3:6" hidden="1" outlineLevel="2">
      <c r="C353" s="73" t="str">
        <v>SpareOfferC20</v>
      </c>
      <c r="D353" t="s">
        <v>170</v>
      </c>
      <c r="F353" s="148">
        <f t="shared" si="40"/>
        <v>0</v>
      </c>
    </row>
    <row r="354" spans="3:6" hidden="1" outlineLevel="2">
      <c r="C354" s="73" t="str">
        <v>SpareOfferC21</v>
      </c>
      <c r="D354" t="s">
        <v>170</v>
      </c>
      <c r="F354" s="148">
        <f t="shared" si="40"/>
        <v>0</v>
      </c>
    </row>
    <row r="355" spans="3:6" hidden="1" outlineLevel="2">
      <c r="C355" s="73" t="str">
        <v>SpareOfferC22</v>
      </c>
      <c r="D355" t="s">
        <v>170</v>
      </c>
      <c r="F355" s="148">
        <f t="shared" si="40"/>
        <v>0</v>
      </c>
    </row>
    <row r="356" spans="3:6" hidden="1" outlineLevel="2">
      <c r="C356" s="73" t="str">
        <v>SpareOfferC23</v>
      </c>
      <c r="D356" t="s">
        <v>170</v>
      </c>
      <c r="F356" s="148">
        <f t="shared" si="40"/>
        <v>0</v>
      </c>
    </row>
    <row r="357" spans="3:6" hidden="1" outlineLevel="2">
      <c r="C357" s="73" t="str">
        <v>SpareOfferC24</v>
      </c>
      <c r="D357" t="s">
        <v>170</v>
      </c>
      <c r="F357" s="148">
        <f t="shared" si="40"/>
        <v>0</v>
      </c>
    </row>
    <row r="358" spans="3:6" hidden="1" outlineLevel="2">
      <c r="C358" s="73" t="str">
        <v>SpareOfferC25</v>
      </c>
      <c r="D358" t="s">
        <v>170</v>
      </c>
      <c r="F358" s="148">
        <f t="shared" si="40"/>
        <v>0</v>
      </c>
    </row>
    <row r="359" spans="3:6" hidden="1" outlineLevel="2">
      <c r="C359" s="73" t="str">
        <v>SpareOfferC26</v>
      </c>
      <c r="D359" t="s">
        <v>170</v>
      </c>
      <c r="F359" s="148">
        <f t="shared" si="40"/>
        <v>0</v>
      </c>
    </row>
    <row r="360" spans="3:6" hidden="1" outlineLevel="2">
      <c r="C360" s="73" t="str">
        <v>SpareOfferC27</v>
      </c>
      <c r="D360" t="s">
        <v>170</v>
      </c>
      <c r="F360" s="148">
        <f t="shared" si="40"/>
        <v>0</v>
      </c>
    </row>
    <row r="361" spans="3:6" hidden="1" outlineLevel="2">
      <c r="C361" s="73" t="str">
        <v>SpareOfferC28</v>
      </c>
      <c r="D361" t="s">
        <v>170</v>
      </c>
      <c r="F361" s="148">
        <f t="shared" si="40"/>
        <v>0</v>
      </c>
    </row>
    <row r="362" spans="3:6" hidden="1" outlineLevel="2">
      <c r="C362" s="73" t="str">
        <v>SpareOfferC29</v>
      </c>
      <c r="D362" t="s">
        <v>170</v>
      </c>
      <c r="F362" s="148">
        <f t="shared" si="40"/>
        <v>0</v>
      </c>
    </row>
    <row r="363" spans="3:6" hidden="1" outlineLevel="2">
      <c r="C363" s="73" t="str">
        <v>SpareOfferC30</v>
      </c>
      <c r="D363" t="s">
        <v>170</v>
      </c>
      <c r="F363" s="148">
        <f t="shared" si="40"/>
        <v>0</v>
      </c>
    </row>
    <row r="364" spans="3:6" hidden="1" outlineLevel="2">
      <c r="C364" s="73" t="str">
        <v>SpareOfferC31</v>
      </c>
      <c r="D364" t="s">
        <v>170</v>
      </c>
      <c r="F364" s="148">
        <f t="shared" si="40"/>
        <v>0</v>
      </c>
    </row>
    <row r="365" spans="3:6" hidden="1" outlineLevel="2">
      <c r="C365" s="73" t="str">
        <v>SpareOfferC32</v>
      </c>
      <c r="D365" t="s">
        <v>170</v>
      </c>
      <c r="F365" s="148">
        <f t="shared" si="40"/>
        <v>0</v>
      </c>
    </row>
    <row r="366" spans="3:6" hidden="1" outlineLevel="2">
      <c r="C366" s="73" t="str">
        <v>SpareOfferC33</v>
      </c>
      <c r="D366" t="s">
        <v>170</v>
      </c>
      <c r="F366" s="148">
        <f t="shared" si="40"/>
        <v>0</v>
      </c>
    </row>
    <row r="367" spans="3:6" hidden="1" outlineLevel="2">
      <c r="C367" s="73" t="str">
        <v>SpareOfferC34</v>
      </c>
      <c r="D367" t="s">
        <v>170</v>
      </c>
      <c r="F367" s="148">
        <f t="shared" si="40"/>
        <v>0</v>
      </c>
    </row>
    <row r="368" spans="3:6" outlineLevel="1" collapsed="1">
      <c r="C368" s="73" t="str">
        <v>SpareOfferC35</v>
      </c>
      <c r="D368" t="s">
        <v>170</v>
      </c>
      <c r="F368" s="148">
        <f t="shared" si="40"/>
        <v>0</v>
      </c>
    </row>
    <row r="369" spans="2:10" ht="12" outlineLevel="1">
      <c r="F369" s="43" t="s">
        <v>257</v>
      </c>
    </row>
    <row r="370" spans="2:10" outlineLevel="1"/>
    <row r="371" spans="2:10" outlineLevel="1">
      <c r="B371" s="91" t="s">
        <v>311</v>
      </c>
      <c r="H371" s="165" t="s">
        <v>276</v>
      </c>
      <c r="I371" s="165"/>
      <c r="J371" s="165"/>
    </row>
    <row r="372" spans="2:10" ht="23" outlineLevel="1">
      <c r="F372" s="1" t="s">
        <v>171</v>
      </c>
      <c r="H372" s="1" t="str">
        <f t="array" ref="H372:J372">options.selected.monthly</f>
        <v>Recurring</v>
      </c>
      <c r="I372" s="1" t="str">
        <v>Other fees</v>
      </c>
      <c r="J372" s="1" t="str">
        <v>Breach of lock-in</v>
      </c>
    </row>
    <row r="373" spans="2:10" outlineLevel="1">
      <c r="C373" s="1" t="s">
        <v>309</v>
      </c>
      <c r="D373" t="s">
        <v>170</v>
      </c>
      <c r="F373" s="146">
        <f>SUMPRODUCT(subscription.split.segment.3,F374:F408)</f>
        <v>0</v>
      </c>
      <c r="H373" s="146">
        <f>SUMPRODUCT(subscription.split.segment.3,H374:H408)</f>
        <v>0</v>
      </c>
      <c r="I373" s="146">
        <f>SUMPRODUCT(subscription.split.segment.3,I374:I408)</f>
        <v>0</v>
      </c>
      <c r="J373" s="146">
        <f>SUMPRODUCT(subscription.split.segment.3,J374:J408)</f>
        <v>0</v>
      </c>
    </row>
    <row r="374" spans="2:10" outlineLevel="1">
      <c r="B374">
        <f t="shared" ref="B374:B408" si="41">MATCH(C374,offers.segment.all,0)</f>
        <v>71</v>
      </c>
      <c r="C374" s="73" t="str">
        <f t="array" ref="C374:C408">offers.segment.3</f>
        <v>SpareOfferC1</v>
      </c>
      <c r="D374" t="s">
        <v>170</v>
      </c>
      <c r="F374" s="224">
        <f>SUM(H374:J374)</f>
        <v>0</v>
      </c>
      <c r="G374" s="129"/>
      <c r="H374" s="145">
        <f t="shared" ref="H374:J393" si="42">INDEX(per.sub.revenues.by.revenues.descriptions,$B374,MATCH(H$372,revenue.descriptions.short,0))</f>
        <v>0</v>
      </c>
      <c r="I374" s="145">
        <f t="shared" si="42"/>
        <v>0</v>
      </c>
      <c r="J374" s="145">
        <f t="shared" si="42"/>
        <v>0</v>
      </c>
    </row>
    <row r="375" spans="2:10" hidden="1" outlineLevel="2">
      <c r="B375">
        <f t="shared" si="41"/>
        <v>72</v>
      </c>
      <c r="C375" s="73" t="str">
        <v>SpareOfferC2</v>
      </c>
      <c r="D375" t="s">
        <v>170</v>
      </c>
      <c r="F375" s="224">
        <f t="shared" ref="F375:F408" si="43">SUM(H375:J375)</f>
        <v>0</v>
      </c>
      <c r="G375" s="129"/>
      <c r="H375" s="145">
        <f t="shared" si="42"/>
        <v>0</v>
      </c>
      <c r="I375" s="145">
        <f t="shared" si="42"/>
        <v>0</v>
      </c>
      <c r="J375" s="145">
        <f t="shared" si="42"/>
        <v>0</v>
      </c>
    </row>
    <row r="376" spans="2:10" hidden="1" outlineLevel="2">
      <c r="B376">
        <f t="shared" si="41"/>
        <v>73</v>
      </c>
      <c r="C376" s="73" t="str">
        <v>SpareOfferC3</v>
      </c>
      <c r="D376" t="s">
        <v>170</v>
      </c>
      <c r="F376" s="224">
        <f t="shared" si="43"/>
        <v>0</v>
      </c>
      <c r="G376" s="129"/>
      <c r="H376" s="145">
        <f t="shared" si="42"/>
        <v>0</v>
      </c>
      <c r="I376" s="145">
        <f t="shared" si="42"/>
        <v>0</v>
      </c>
      <c r="J376" s="145">
        <f t="shared" si="42"/>
        <v>0</v>
      </c>
    </row>
    <row r="377" spans="2:10" hidden="1" outlineLevel="2">
      <c r="B377">
        <f t="shared" si="41"/>
        <v>74</v>
      </c>
      <c r="C377" s="73" t="str">
        <v>SpareOfferC4</v>
      </c>
      <c r="D377" t="s">
        <v>170</v>
      </c>
      <c r="F377" s="224">
        <f t="shared" si="43"/>
        <v>0</v>
      </c>
      <c r="G377" s="129"/>
      <c r="H377" s="145">
        <f t="shared" si="42"/>
        <v>0</v>
      </c>
      <c r="I377" s="145">
        <f t="shared" si="42"/>
        <v>0</v>
      </c>
      <c r="J377" s="145">
        <f t="shared" si="42"/>
        <v>0</v>
      </c>
    </row>
    <row r="378" spans="2:10" hidden="1" outlineLevel="2">
      <c r="B378">
        <f t="shared" si="41"/>
        <v>75</v>
      </c>
      <c r="C378" s="73" t="str">
        <v>SpareOfferC5</v>
      </c>
      <c r="D378" t="s">
        <v>170</v>
      </c>
      <c r="F378" s="224">
        <f t="shared" si="43"/>
        <v>0</v>
      </c>
      <c r="G378" s="129"/>
      <c r="H378" s="145">
        <f t="shared" si="42"/>
        <v>0</v>
      </c>
      <c r="I378" s="145">
        <f t="shared" si="42"/>
        <v>0</v>
      </c>
      <c r="J378" s="145">
        <f t="shared" si="42"/>
        <v>0</v>
      </c>
    </row>
    <row r="379" spans="2:10" hidden="1" outlineLevel="2">
      <c r="B379">
        <f t="shared" si="41"/>
        <v>76</v>
      </c>
      <c r="C379" s="73" t="str">
        <v>SpareOfferC6</v>
      </c>
      <c r="D379" t="s">
        <v>170</v>
      </c>
      <c r="F379" s="224">
        <f t="shared" si="43"/>
        <v>0</v>
      </c>
      <c r="G379" s="129"/>
      <c r="H379" s="145">
        <f t="shared" si="42"/>
        <v>0</v>
      </c>
      <c r="I379" s="145">
        <f t="shared" si="42"/>
        <v>0</v>
      </c>
      <c r="J379" s="145">
        <f t="shared" si="42"/>
        <v>0</v>
      </c>
    </row>
    <row r="380" spans="2:10" hidden="1" outlineLevel="2">
      <c r="B380">
        <f t="shared" si="41"/>
        <v>77</v>
      </c>
      <c r="C380" s="73" t="str">
        <v>SpareOfferC7</v>
      </c>
      <c r="D380" t="s">
        <v>170</v>
      </c>
      <c r="F380" s="224">
        <f t="shared" si="43"/>
        <v>0</v>
      </c>
      <c r="G380" s="129"/>
      <c r="H380" s="145">
        <f t="shared" si="42"/>
        <v>0</v>
      </c>
      <c r="I380" s="145">
        <f t="shared" si="42"/>
        <v>0</v>
      </c>
      <c r="J380" s="145">
        <f t="shared" si="42"/>
        <v>0</v>
      </c>
    </row>
    <row r="381" spans="2:10" hidden="1" outlineLevel="2">
      <c r="B381">
        <f t="shared" si="41"/>
        <v>78</v>
      </c>
      <c r="C381" s="73" t="str">
        <v>SpareOfferC8</v>
      </c>
      <c r="D381" t="s">
        <v>170</v>
      </c>
      <c r="F381" s="224">
        <f t="shared" si="43"/>
        <v>0</v>
      </c>
      <c r="G381" s="129"/>
      <c r="H381" s="145">
        <f t="shared" si="42"/>
        <v>0</v>
      </c>
      <c r="I381" s="145">
        <f t="shared" si="42"/>
        <v>0</v>
      </c>
      <c r="J381" s="145">
        <f t="shared" si="42"/>
        <v>0</v>
      </c>
    </row>
    <row r="382" spans="2:10" hidden="1" outlineLevel="2">
      <c r="B382">
        <f t="shared" si="41"/>
        <v>79</v>
      </c>
      <c r="C382" s="73" t="str">
        <v>SpareOfferC9</v>
      </c>
      <c r="D382" t="s">
        <v>170</v>
      </c>
      <c r="F382" s="224">
        <f t="shared" si="43"/>
        <v>0</v>
      </c>
      <c r="G382" s="129"/>
      <c r="H382" s="145">
        <f t="shared" si="42"/>
        <v>0</v>
      </c>
      <c r="I382" s="145">
        <f t="shared" si="42"/>
        <v>0</v>
      </c>
      <c r="J382" s="145">
        <f t="shared" si="42"/>
        <v>0</v>
      </c>
    </row>
    <row r="383" spans="2:10" hidden="1" outlineLevel="2">
      <c r="B383">
        <f t="shared" si="41"/>
        <v>80</v>
      </c>
      <c r="C383" s="73" t="str">
        <v>SpareOfferC10</v>
      </c>
      <c r="D383" t="s">
        <v>170</v>
      </c>
      <c r="F383" s="224">
        <f t="shared" si="43"/>
        <v>0</v>
      </c>
      <c r="G383" s="129"/>
      <c r="H383" s="145">
        <f t="shared" si="42"/>
        <v>0</v>
      </c>
      <c r="I383" s="145">
        <f t="shared" si="42"/>
        <v>0</v>
      </c>
      <c r="J383" s="145">
        <f t="shared" si="42"/>
        <v>0</v>
      </c>
    </row>
    <row r="384" spans="2:10" hidden="1" outlineLevel="2">
      <c r="B384">
        <f t="shared" si="41"/>
        <v>81</v>
      </c>
      <c r="C384" s="73" t="str">
        <v>SpareOfferC11</v>
      </c>
      <c r="D384" t="s">
        <v>170</v>
      </c>
      <c r="F384" s="224">
        <f t="shared" si="43"/>
        <v>0</v>
      </c>
      <c r="G384" s="129"/>
      <c r="H384" s="145">
        <f t="shared" si="42"/>
        <v>0</v>
      </c>
      <c r="I384" s="145">
        <f t="shared" si="42"/>
        <v>0</v>
      </c>
      <c r="J384" s="145">
        <f t="shared" si="42"/>
        <v>0</v>
      </c>
    </row>
    <row r="385" spans="2:10" hidden="1" outlineLevel="2">
      <c r="B385">
        <f t="shared" si="41"/>
        <v>82</v>
      </c>
      <c r="C385" s="73" t="str">
        <v>SpareOfferC12</v>
      </c>
      <c r="D385" t="s">
        <v>170</v>
      </c>
      <c r="F385" s="224">
        <f t="shared" si="43"/>
        <v>0</v>
      </c>
      <c r="G385" s="129"/>
      <c r="H385" s="145">
        <f t="shared" si="42"/>
        <v>0</v>
      </c>
      <c r="I385" s="145">
        <f t="shared" si="42"/>
        <v>0</v>
      </c>
      <c r="J385" s="145">
        <f t="shared" si="42"/>
        <v>0</v>
      </c>
    </row>
    <row r="386" spans="2:10" hidden="1" outlineLevel="2">
      <c r="B386">
        <f t="shared" si="41"/>
        <v>83</v>
      </c>
      <c r="C386" s="73" t="str">
        <v>SpareOfferC13</v>
      </c>
      <c r="D386" t="s">
        <v>170</v>
      </c>
      <c r="F386" s="224">
        <f t="shared" si="43"/>
        <v>0</v>
      </c>
      <c r="G386" s="129"/>
      <c r="H386" s="145">
        <f t="shared" si="42"/>
        <v>0</v>
      </c>
      <c r="I386" s="145">
        <f t="shared" si="42"/>
        <v>0</v>
      </c>
      <c r="J386" s="145">
        <f t="shared" si="42"/>
        <v>0</v>
      </c>
    </row>
    <row r="387" spans="2:10" hidden="1" outlineLevel="2">
      <c r="B387">
        <f t="shared" si="41"/>
        <v>84</v>
      </c>
      <c r="C387" s="73" t="str">
        <v>SpareOfferC14</v>
      </c>
      <c r="D387" t="s">
        <v>170</v>
      </c>
      <c r="F387" s="224">
        <f t="shared" si="43"/>
        <v>0</v>
      </c>
      <c r="G387" s="129"/>
      <c r="H387" s="145">
        <f t="shared" si="42"/>
        <v>0</v>
      </c>
      <c r="I387" s="145">
        <f t="shared" si="42"/>
        <v>0</v>
      </c>
      <c r="J387" s="145">
        <f t="shared" si="42"/>
        <v>0</v>
      </c>
    </row>
    <row r="388" spans="2:10" hidden="1" outlineLevel="2">
      <c r="B388">
        <f t="shared" si="41"/>
        <v>85</v>
      </c>
      <c r="C388" s="73" t="str">
        <v>SpareOfferC15</v>
      </c>
      <c r="D388" t="s">
        <v>170</v>
      </c>
      <c r="F388" s="224">
        <f t="shared" si="43"/>
        <v>0</v>
      </c>
      <c r="G388" s="129"/>
      <c r="H388" s="145">
        <f t="shared" si="42"/>
        <v>0</v>
      </c>
      <c r="I388" s="145">
        <f t="shared" si="42"/>
        <v>0</v>
      </c>
      <c r="J388" s="145">
        <f t="shared" si="42"/>
        <v>0</v>
      </c>
    </row>
    <row r="389" spans="2:10" hidden="1" outlineLevel="2">
      <c r="B389">
        <f t="shared" si="41"/>
        <v>86</v>
      </c>
      <c r="C389" s="73" t="str">
        <v>SpareOfferC16</v>
      </c>
      <c r="D389" t="s">
        <v>170</v>
      </c>
      <c r="F389" s="224">
        <f t="shared" si="43"/>
        <v>0</v>
      </c>
      <c r="G389" s="129"/>
      <c r="H389" s="145">
        <f t="shared" si="42"/>
        <v>0</v>
      </c>
      <c r="I389" s="145">
        <f t="shared" si="42"/>
        <v>0</v>
      </c>
      <c r="J389" s="145">
        <f t="shared" si="42"/>
        <v>0</v>
      </c>
    </row>
    <row r="390" spans="2:10" hidden="1" outlineLevel="2">
      <c r="B390">
        <f t="shared" si="41"/>
        <v>87</v>
      </c>
      <c r="C390" s="73" t="str">
        <v>SpareOfferC17</v>
      </c>
      <c r="D390" t="s">
        <v>170</v>
      </c>
      <c r="F390" s="224">
        <f t="shared" si="43"/>
        <v>0</v>
      </c>
      <c r="G390" s="129"/>
      <c r="H390" s="145">
        <f t="shared" si="42"/>
        <v>0</v>
      </c>
      <c r="I390" s="145">
        <f t="shared" si="42"/>
        <v>0</v>
      </c>
      <c r="J390" s="145">
        <f t="shared" si="42"/>
        <v>0</v>
      </c>
    </row>
    <row r="391" spans="2:10" hidden="1" outlineLevel="2">
      <c r="B391">
        <f t="shared" si="41"/>
        <v>88</v>
      </c>
      <c r="C391" s="73" t="str">
        <v>SpareOfferC18</v>
      </c>
      <c r="D391" t="s">
        <v>170</v>
      </c>
      <c r="F391" s="224">
        <f t="shared" si="43"/>
        <v>0</v>
      </c>
      <c r="G391" s="129"/>
      <c r="H391" s="145">
        <f t="shared" si="42"/>
        <v>0</v>
      </c>
      <c r="I391" s="145">
        <f t="shared" si="42"/>
        <v>0</v>
      </c>
      <c r="J391" s="145">
        <f t="shared" si="42"/>
        <v>0</v>
      </c>
    </row>
    <row r="392" spans="2:10" hidden="1" outlineLevel="2">
      <c r="B392">
        <f t="shared" si="41"/>
        <v>89</v>
      </c>
      <c r="C392" s="73" t="str">
        <v>SpareOfferC19</v>
      </c>
      <c r="D392" t="s">
        <v>170</v>
      </c>
      <c r="F392" s="224">
        <f t="shared" si="43"/>
        <v>0</v>
      </c>
      <c r="G392" s="129"/>
      <c r="H392" s="145">
        <f t="shared" si="42"/>
        <v>0</v>
      </c>
      <c r="I392" s="145">
        <f t="shared" si="42"/>
        <v>0</v>
      </c>
      <c r="J392" s="145">
        <f t="shared" si="42"/>
        <v>0</v>
      </c>
    </row>
    <row r="393" spans="2:10" hidden="1" outlineLevel="2">
      <c r="B393">
        <f t="shared" si="41"/>
        <v>90</v>
      </c>
      <c r="C393" s="73" t="str">
        <v>SpareOfferC20</v>
      </c>
      <c r="D393" t="s">
        <v>170</v>
      </c>
      <c r="F393" s="224">
        <f t="shared" si="43"/>
        <v>0</v>
      </c>
      <c r="G393" s="129"/>
      <c r="H393" s="145">
        <f t="shared" si="42"/>
        <v>0</v>
      </c>
      <c r="I393" s="145">
        <f t="shared" si="42"/>
        <v>0</v>
      </c>
      <c r="J393" s="145">
        <f t="shared" si="42"/>
        <v>0</v>
      </c>
    </row>
    <row r="394" spans="2:10" hidden="1" outlineLevel="2">
      <c r="B394">
        <f t="shared" si="41"/>
        <v>91</v>
      </c>
      <c r="C394" s="73" t="str">
        <v>SpareOfferC21</v>
      </c>
      <c r="D394" t="s">
        <v>170</v>
      </c>
      <c r="F394" s="224">
        <f t="shared" si="43"/>
        <v>0</v>
      </c>
      <c r="G394" s="129"/>
      <c r="H394" s="145">
        <f t="shared" ref="H394:J408" si="44">INDEX(per.sub.revenues.by.revenues.descriptions,$B394,MATCH(H$372,revenue.descriptions.short,0))</f>
        <v>0</v>
      </c>
      <c r="I394" s="145">
        <f t="shared" si="44"/>
        <v>0</v>
      </c>
      <c r="J394" s="145">
        <f t="shared" si="44"/>
        <v>0</v>
      </c>
    </row>
    <row r="395" spans="2:10" hidden="1" outlineLevel="2">
      <c r="B395">
        <f t="shared" si="41"/>
        <v>92</v>
      </c>
      <c r="C395" s="73" t="str">
        <v>SpareOfferC22</v>
      </c>
      <c r="D395" t="s">
        <v>170</v>
      </c>
      <c r="F395" s="224">
        <f t="shared" si="43"/>
        <v>0</v>
      </c>
      <c r="G395" s="129"/>
      <c r="H395" s="145">
        <f t="shared" si="44"/>
        <v>0</v>
      </c>
      <c r="I395" s="145">
        <f t="shared" si="44"/>
        <v>0</v>
      </c>
      <c r="J395" s="145">
        <f t="shared" si="44"/>
        <v>0</v>
      </c>
    </row>
    <row r="396" spans="2:10" hidden="1" outlineLevel="2">
      <c r="B396">
        <f t="shared" si="41"/>
        <v>93</v>
      </c>
      <c r="C396" s="73" t="str">
        <v>SpareOfferC23</v>
      </c>
      <c r="D396" t="s">
        <v>170</v>
      </c>
      <c r="F396" s="224">
        <f t="shared" si="43"/>
        <v>0</v>
      </c>
      <c r="G396" s="129"/>
      <c r="H396" s="145">
        <f t="shared" si="44"/>
        <v>0</v>
      </c>
      <c r="I396" s="145">
        <f t="shared" si="44"/>
        <v>0</v>
      </c>
      <c r="J396" s="145">
        <f t="shared" si="44"/>
        <v>0</v>
      </c>
    </row>
    <row r="397" spans="2:10" hidden="1" outlineLevel="2">
      <c r="B397">
        <f t="shared" si="41"/>
        <v>94</v>
      </c>
      <c r="C397" s="73" t="str">
        <v>SpareOfferC24</v>
      </c>
      <c r="D397" t="s">
        <v>170</v>
      </c>
      <c r="F397" s="224">
        <f t="shared" si="43"/>
        <v>0</v>
      </c>
      <c r="G397" s="129"/>
      <c r="H397" s="145">
        <f t="shared" si="44"/>
        <v>0</v>
      </c>
      <c r="I397" s="145">
        <f t="shared" si="44"/>
        <v>0</v>
      </c>
      <c r="J397" s="145">
        <f t="shared" si="44"/>
        <v>0</v>
      </c>
    </row>
    <row r="398" spans="2:10" hidden="1" outlineLevel="2">
      <c r="B398">
        <f t="shared" si="41"/>
        <v>95</v>
      </c>
      <c r="C398" s="73" t="str">
        <v>SpareOfferC25</v>
      </c>
      <c r="D398" t="s">
        <v>170</v>
      </c>
      <c r="F398" s="224">
        <f t="shared" si="43"/>
        <v>0</v>
      </c>
      <c r="G398" s="129"/>
      <c r="H398" s="145">
        <f t="shared" si="44"/>
        <v>0</v>
      </c>
      <c r="I398" s="145">
        <f t="shared" si="44"/>
        <v>0</v>
      </c>
      <c r="J398" s="145">
        <f t="shared" si="44"/>
        <v>0</v>
      </c>
    </row>
    <row r="399" spans="2:10" hidden="1" outlineLevel="2">
      <c r="B399">
        <f t="shared" si="41"/>
        <v>96</v>
      </c>
      <c r="C399" s="73" t="str">
        <v>SpareOfferC26</v>
      </c>
      <c r="D399" t="s">
        <v>170</v>
      </c>
      <c r="F399" s="224">
        <f t="shared" si="43"/>
        <v>0</v>
      </c>
      <c r="G399" s="129"/>
      <c r="H399" s="145">
        <f t="shared" si="44"/>
        <v>0</v>
      </c>
      <c r="I399" s="145">
        <f t="shared" si="44"/>
        <v>0</v>
      </c>
      <c r="J399" s="145">
        <f t="shared" si="44"/>
        <v>0</v>
      </c>
    </row>
    <row r="400" spans="2:10" hidden="1" outlineLevel="2">
      <c r="B400">
        <f t="shared" si="41"/>
        <v>97</v>
      </c>
      <c r="C400" s="73" t="str">
        <v>SpareOfferC27</v>
      </c>
      <c r="D400" t="s">
        <v>170</v>
      </c>
      <c r="F400" s="224">
        <f t="shared" si="43"/>
        <v>0</v>
      </c>
      <c r="G400" s="129"/>
      <c r="H400" s="145">
        <f t="shared" si="44"/>
        <v>0</v>
      </c>
      <c r="I400" s="145">
        <f t="shared" si="44"/>
        <v>0</v>
      </c>
      <c r="J400" s="145">
        <f t="shared" si="44"/>
        <v>0</v>
      </c>
    </row>
    <row r="401" spans="2:21" hidden="1" outlineLevel="2">
      <c r="B401">
        <f t="shared" si="41"/>
        <v>98</v>
      </c>
      <c r="C401" s="73" t="str">
        <v>SpareOfferC28</v>
      </c>
      <c r="D401" t="s">
        <v>170</v>
      </c>
      <c r="F401" s="224">
        <f t="shared" si="43"/>
        <v>0</v>
      </c>
      <c r="G401" s="129"/>
      <c r="H401" s="145">
        <f t="shared" si="44"/>
        <v>0</v>
      </c>
      <c r="I401" s="145">
        <f t="shared" si="44"/>
        <v>0</v>
      </c>
      <c r="J401" s="145">
        <f t="shared" si="44"/>
        <v>0</v>
      </c>
    </row>
    <row r="402" spans="2:21" hidden="1" outlineLevel="2">
      <c r="B402">
        <f t="shared" si="41"/>
        <v>99</v>
      </c>
      <c r="C402" s="73" t="str">
        <v>SpareOfferC29</v>
      </c>
      <c r="D402" t="s">
        <v>170</v>
      </c>
      <c r="F402" s="224">
        <f t="shared" si="43"/>
        <v>0</v>
      </c>
      <c r="G402" s="129"/>
      <c r="H402" s="145">
        <f t="shared" si="44"/>
        <v>0</v>
      </c>
      <c r="I402" s="145">
        <f t="shared" si="44"/>
        <v>0</v>
      </c>
      <c r="J402" s="145">
        <f t="shared" si="44"/>
        <v>0</v>
      </c>
    </row>
    <row r="403" spans="2:21" hidden="1" outlineLevel="2">
      <c r="B403">
        <f t="shared" si="41"/>
        <v>100</v>
      </c>
      <c r="C403" s="73" t="str">
        <v>SpareOfferC30</v>
      </c>
      <c r="D403" t="s">
        <v>170</v>
      </c>
      <c r="F403" s="224">
        <f t="shared" si="43"/>
        <v>0</v>
      </c>
      <c r="G403" s="129"/>
      <c r="H403" s="145">
        <f t="shared" si="44"/>
        <v>0</v>
      </c>
      <c r="I403" s="145">
        <f t="shared" si="44"/>
        <v>0</v>
      </c>
      <c r="J403" s="145">
        <f t="shared" si="44"/>
        <v>0</v>
      </c>
    </row>
    <row r="404" spans="2:21" hidden="1" outlineLevel="2">
      <c r="B404">
        <f t="shared" si="41"/>
        <v>101</v>
      </c>
      <c r="C404" s="73" t="str">
        <v>SpareOfferC31</v>
      </c>
      <c r="D404" t="s">
        <v>170</v>
      </c>
      <c r="F404" s="224">
        <f t="shared" si="43"/>
        <v>0</v>
      </c>
      <c r="G404" s="129"/>
      <c r="H404" s="145">
        <f t="shared" si="44"/>
        <v>0</v>
      </c>
      <c r="I404" s="145">
        <f t="shared" si="44"/>
        <v>0</v>
      </c>
      <c r="J404" s="145">
        <f t="shared" si="44"/>
        <v>0</v>
      </c>
    </row>
    <row r="405" spans="2:21" hidden="1" outlineLevel="2">
      <c r="B405">
        <f t="shared" si="41"/>
        <v>102</v>
      </c>
      <c r="C405" s="73" t="str">
        <v>SpareOfferC32</v>
      </c>
      <c r="D405" t="s">
        <v>170</v>
      </c>
      <c r="F405" s="224">
        <f t="shared" si="43"/>
        <v>0</v>
      </c>
      <c r="G405" s="129"/>
      <c r="H405" s="145">
        <f t="shared" si="44"/>
        <v>0</v>
      </c>
      <c r="I405" s="145">
        <f t="shared" si="44"/>
        <v>0</v>
      </c>
      <c r="J405" s="145">
        <f t="shared" si="44"/>
        <v>0</v>
      </c>
    </row>
    <row r="406" spans="2:21" hidden="1" outlineLevel="2">
      <c r="B406">
        <f t="shared" si="41"/>
        <v>103</v>
      </c>
      <c r="C406" s="73" t="str">
        <v>SpareOfferC33</v>
      </c>
      <c r="D406" t="s">
        <v>170</v>
      </c>
      <c r="F406" s="224">
        <f t="shared" si="43"/>
        <v>0</v>
      </c>
      <c r="G406" s="129"/>
      <c r="H406" s="145">
        <f t="shared" si="44"/>
        <v>0</v>
      </c>
      <c r="I406" s="145">
        <f t="shared" si="44"/>
        <v>0</v>
      </c>
      <c r="J406" s="145">
        <f t="shared" si="44"/>
        <v>0</v>
      </c>
    </row>
    <row r="407" spans="2:21" hidden="1" outlineLevel="2">
      <c r="B407">
        <f t="shared" si="41"/>
        <v>104</v>
      </c>
      <c r="C407" s="73" t="str">
        <v>SpareOfferC34</v>
      </c>
      <c r="D407" t="s">
        <v>170</v>
      </c>
      <c r="F407" s="224">
        <f t="shared" si="43"/>
        <v>0</v>
      </c>
      <c r="G407" s="129"/>
      <c r="H407" s="145">
        <f t="shared" si="44"/>
        <v>0</v>
      </c>
      <c r="I407" s="145">
        <f t="shared" si="44"/>
        <v>0</v>
      </c>
      <c r="J407" s="145">
        <f t="shared" si="44"/>
        <v>0</v>
      </c>
    </row>
    <row r="408" spans="2:21" outlineLevel="1" collapsed="1">
      <c r="B408">
        <f t="shared" si="41"/>
        <v>105</v>
      </c>
      <c r="C408" s="73" t="str">
        <v>SpareOfferC35</v>
      </c>
      <c r="D408" t="s">
        <v>170</v>
      </c>
      <c r="F408" s="224">
        <f t="shared" si="43"/>
        <v>0</v>
      </c>
      <c r="G408" s="129"/>
      <c r="H408" s="145">
        <f t="shared" si="44"/>
        <v>0</v>
      </c>
      <c r="I408" s="145">
        <f t="shared" si="44"/>
        <v>0</v>
      </c>
      <c r="J408" s="145">
        <f t="shared" si="44"/>
        <v>0</v>
      </c>
    </row>
    <row r="409" spans="2:21" outlineLevel="1"/>
    <row r="410" spans="2:21" outlineLevel="1">
      <c r="B410" s="91" t="s">
        <v>215</v>
      </c>
      <c r="H410" s="66" t="s">
        <v>368</v>
      </c>
      <c r="I410" s="66"/>
      <c r="J410" s="66"/>
      <c r="K410" s="66"/>
      <c r="L410" s="66"/>
      <c r="M410" s="66"/>
      <c r="O410" s="66" t="s">
        <v>161</v>
      </c>
      <c r="P410" s="66"/>
      <c r="Q410" s="66"/>
      <c r="S410" s="165" t="s">
        <v>192</v>
      </c>
      <c r="T410" s="165"/>
      <c r="U410" s="165"/>
    </row>
    <row r="411" spans="2:21" ht="23" outlineLevel="1">
      <c r="F411" s="1" t="s">
        <v>171</v>
      </c>
      <c r="H411" s="95" t="str">
        <f t="array" ref="H411:M411">options.selected.basic</f>
        <v>National voice</v>
      </c>
      <c r="I411" s="95" t="str">
        <v>International voice</v>
      </c>
      <c r="J411" s="95" t="str">
        <v>National SMS</v>
      </c>
      <c r="K411" s="95" t="str">
        <v>International SMS</v>
      </c>
      <c r="L411" s="95" t="str">
        <v>National data</v>
      </c>
      <c r="M411" s="95" t="str">
        <v>Spare 1</v>
      </c>
      <c r="O411" s="95" t="str">
        <f t="array" ref="O411:Q411">options.selected.VAS</f>
        <v>VAS minutes</v>
      </c>
      <c r="P411" s="95" t="str">
        <v>VAS BankID</v>
      </c>
      <c r="Q411" s="95" t="str">
        <v>Other VAS messages</v>
      </c>
      <c r="S411" s="95" t="str">
        <f t="array" ref="S411:U411">options.selected.roaming</f>
        <v>Roaming voice</v>
      </c>
      <c r="T411" s="95" t="str">
        <v>Roaming messages</v>
      </c>
      <c r="U411" s="95" t="str">
        <v>Roaming data</v>
      </c>
    </row>
    <row r="412" spans="2:21" outlineLevel="1">
      <c r="C412" s="1" t="s">
        <v>309</v>
      </c>
      <c r="D412" t="s">
        <v>170</v>
      </c>
      <c r="F412" s="146">
        <f>SUMPRODUCT(subscription.split.segment.3,F413:F447)</f>
        <v>0</v>
      </c>
      <c r="H412" s="146">
        <f t="shared" ref="H412:M412" si="45">SUMPRODUCT(subscription.split.segment.3,H413:H447)</f>
        <v>0</v>
      </c>
      <c r="I412" s="146">
        <f t="shared" si="45"/>
        <v>0</v>
      </c>
      <c r="J412" s="146">
        <f t="shared" si="45"/>
        <v>0</v>
      </c>
      <c r="K412" s="146">
        <f t="shared" si="45"/>
        <v>0</v>
      </c>
      <c r="L412" s="146">
        <f t="shared" si="45"/>
        <v>0</v>
      </c>
      <c r="M412" s="146">
        <f t="shared" si="45"/>
        <v>0</v>
      </c>
      <c r="O412" s="146">
        <f>SUMPRODUCT(subscription.split.segment.3,O413:O447)</f>
        <v>0</v>
      </c>
      <c r="P412" s="146">
        <f>SUMPRODUCT(subscription.split.segment.3,P413:P447)</f>
        <v>0</v>
      </c>
      <c r="Q412" s="146">
        <f>SUMPRODUCT(subscription.split.segment.3,Q413:Q447)</f>
        <v>0</v>
      </c>
      <c r="S412" s="146">
        <f>SUMPRODUCT(subscription.split.segment.3,S413:S447)</f>
        <v>0</v>
      </c>
      <c r="T412" s="146">
        <f>SUMPRODUCT(subscription.split.segment.3,T413:T447)</f>
        <v>0</v>
      </c>
      <c r="U412" s="146">
        <f>SUMPRODUCT(subscription.split.segment.3,U413:U447)</f>
        <v>0</v>
      </c>
    </row>
    <row r="413" spans="2:21" outlineLevel="1">
      <c r="B413">
        <f t="shared" ref="B413:B447" si="46">MATCH(C413,offers.segment.all,0)</f>
        <v>71</v>
      </c>
      <c r="C413" s="73" t="str">
        <f t="array" ref="C413:C447">offers.segment.3</f>
        <v>SpareOfferC1</v>
      </c>
      <c r="D413" t="s">
        <v>170</v>
      </c>
      <c r="F413" s="225">
        <f>SUM(H413:M413)+SUM(O413:Q413)+SUM(S413:U413)</f>
        <v>0</v>
      </c>
      <c r="H413" s="145">
        <f t="shared" ref="H413:M422" si="47">INDEX(per.sub.revenues.by.revenues.descriptions,$B413,MATCH(H$411,revenue.descriptions.short,0))</f>
        <v>0</v>
      </c>
      <c r="I413" s="145">
        <f t="shared" si="47"/>
        <v>0</v>
      </c>
      <c r="J413" s="145">
        <f t="shared" si="47"/>
        <v>0</v>
      </c>
      <c r="K413" s="145">
        <f t="shared" si="47"/>
        <v>0</v>
      </c>
      <c r="L413" s="145">
        <f t="shared" si="47"/>
        <v>0</v>
      </c>
      <c r="M413" s="145">
        <f t="shared" si="47"/>
        <v>0</v>
      </c>
      <c r="O413" s="145">
        <f t="shared" ref="O413:Q432" si="48">INDEX(per.sub.revenues.by.revenues.descriptions,$B413,MATCH(O$411,revenue.descriptions.short,0))</f>
        <v>0</v>
      </c>
      <c r="P413" s="145">
        <f t="shared" si="48"/>
        <v>0</v>
      </c>
      <c r="Q413" s="145">
        <f t="shared" si="48"/>
        <v>0</v>
      </c>
      <c r="S413" s="145">
        <f t="shared" ref="S413:U432" si="49">INDEX(per.sub.revenues.by.revenues.descriptions,$B413,MATCH(S$411,revenue.descriptions.short,0))</f>
        <v>0</v>
      </c>
      <c r="T413" s="145">
        <f t="shared" si="49"/>
        <v>0</v>
      </c>
      <c r="U413" s="145">
        <f t="shared" si="49"/>
        <v>0</v>
      </c>
    </row>
    <row r="414" spans="2:21" ht="12" hidden="1" customHeight="1" outlineLevel="2">
      <c r="B414">
        <f t="shared" si="46"/>
        <v>72</v>
      </c>
      <c r="C414" s="73" t="str">
        <v>SpareOfferC2</v>
      </c>
      <c r="D414" t="s">
        <v>170</v>
      </c>
      <c r="F414" s="225">
        <f t="shared" ref="F414:F447" si="50">SUM(H414:M414)+SUM(O414:Q414)+SUM(S414:U414)</f>
        <v>0</v>
      </c>
      <c r="H414" s="145">
        <f t="shared" si="47"/>
        <v>0</v>
      </c>
      <c r="I414" s="145">
        <f t="shared" si="47"/>
        <v>0</v>
      </c>
      <c r="J414" s="145">
        <f t="shared" si="47"/>
        <v>0</v>
      </c>
      <c r="K414" s="145">
        <f t="shared" si="47"/>
        <v>0</v>
      </c>
      <c r="L414" s="145">
        <f t="shared" si="47"/>
        <v>0</v>
      </c>
      <c r="M414" s="145">
        <f t="shared" si="47"/>
        <v>0</v>
      </c>
      <c r="O414" s="145">
        <f t="shared" si="48"/>
        <v>0</v>
      </c>
      <c r="P414" s="145">
        <f t="shared" si="48"/>
        <v>0</v>
      </c>
      <c r="Q414" s="145">
        <f t="shared" si="48"/>
        <v>0</v>
      </c>
      <c r="S414" s="145">
        <f t="shared" si="49"/>
        <v>0</v>
      </c>
      <c r="T414" s="145">
        <f t="shared" si="49"/>
        <v>0</v>
      </c>
      <c r="U414" s="145">
        <f t="shared" si="49"/>
        <v>0</v>
      </c>
    </row>
    <row r="415" spans="2:21" ht="12" hidden="1" customHeight="1" outlineLevel="2">
      <c r="B415">
        <f t="shared" si="46"/>
        <v>73</v>
      </c>
      <c r="C415" s="73" t="str">
        <v>SpareOfferC3</v>
      </c>
      <c r="D415" t="s">
        <v>170</v>
      </c>
      <c r="F415" s="225">
        <f t="shared" si="50"/>
        <v>0</v>
      </c>
      <c r="H415" s="145">
        <f t="shared" si="47"/>
        <v>0</v>
      </c>
      <c r="I415" s="145">
        <f t="shared" si="47"/>
        <v>0</v>
      </c>
      <c r="J415" s="145">
        <f t="shared" si="47"/>
        <v>0</v>
      </c>
      <c r="K415" s="145">
        <f t="shared" si="47"/>
        <v>0</v>
      </c>
      <c r="L415" s="145">
        <f t="shared" si="47"/>
        <v>0</v>
      </c>
      <c r="M415" s="145">
        <f t="shared" si="47"/>
        <v>0</v>
      </c>
      <c r="O415" s="145">
        <f t="shared" si="48"/>
        <v>0</v>
      </c>
      <c r="P415" s="145">
        <f t="shared" si="48"/>
        <v>0</v>
      </c>
      <c r="Q415" s="145">
        <f t="shared" si="48"/>
        <v>0</v>
      </c>
      <c r="S415" s="145">
        <f t="shared" si="49"/>
        <v>0</v>
      </c>
      <c r="T415" s="145">
        <f t="shared" si="49"/>
        <v>0</v>
      </c>
      <c r="U415" s="145">
        <f t="shared" si="49"/>
        <v>0</v>
      </c>
    </row>
    <row r="416" spans="2:21" ht="12" hidden="1" customHeight="1" outlineLevel="2">
      <c r="B416">
        <f t="shared" si="46"/>
        <v>74</v>
      </c>
      <c r="C416" s="73" t="str">
        <v>SpareOfferC4</v>
      </c>
      <c r="D416" t="s">
        <v>170</v>
      </c>
      <c r="F416" s="225">
        <f t="shared" si="50"/>
        <v>0</v>
      </c>
      <c r="H416" s="145">
        <f t="shared" si="47"/>
        <v>0</v>
      </c>
      <c r="I416" s="145">
        <f t="shared" si="47"/>
        <v>0</v>
      </c>
      <c r="J416" s="145">
        <f t="shared" si="47"/>
        <v>0</v>
      </c>
      <c r="K416" s="145">
        <f t="shared" si="47"/>
        <v>0</v>
      </c>
      <c r="L416" s="145">
        <f t="shared" si="47"/>
        <v>0</v>
      </c>
      <c r="M416" s="145">
        <f t="shared" si="47"/>
        <v>0</v>
      </c>
      <c r="O416" s="145">
        <f t="shared" si="48"/>
        <v>0</v>
      </c>
      <c r="P416" s="145">
        <f t="shared" si="48"/>
        <v>0</v>
      </c>
      <c r="Q416" s="145">
        <f t="shared" si="48"/>
        <v>0</v>
      </c>
      <c r="S416" s="145">
        <f t="shared" si="49"/>
        <v>0</v>
      </c>
      <c r="T416" s="145">
        <f t="shared" si="49"/>
        <v>0</v>
      </c>
      <c r="U416" s="145">
        <f t="shared" si="49"/>
        <v>0</v>
      </c>
    </row>
    <row r="417" spans="2:21" ht="12" hidden="1" customHeight="1" outlineLevel="2">
      <c r="B417">
        <f t="shared" si="46"/>
        <v>75</v>
      </c>
      <c r="C417" s="73" t="str">
        <v>SpareOfferC5</v>
      </c>
      <c r="D417" t="s">
        <v>170</v>
      </c>
      <c r="F417" s="225">
        <f t="shared" si="50"/>
        <v>0</v>
      </c>
      <c r="H417" s="145">
        <f t="shared" si="47"/>
        <v>0</v>
      </c>
      <c r="I417" s="145">
        <f t="shared" si="47"/>
        <v>0</v>
      </c>
      <c r="J417" s="145">
        <f t="shared" si="47"/>
        <v>0</v>
      </c>
      <c r="K417" s="145">
        <f t="shared" si="47"/>
        <v>0</v>
      </c>
      <c r="L417" s="145">
        <f t="shared" si="47"/>
        <v>0</v>
      </c>
      <c r="M417" s="145">
        <f t="shared" si="47"/>
        <v>0</v>
      </c>
      <c r="O417" s="145">
        <f t="shared" si="48"/>
        <v>0</v>
      </c>
      <c r="P417" s="145">
        <f t="shared" si="48"/>
        <v>0</v>
      </c>
      <c r="Q417" s="145">
        <f t="shared" si="48"/>
        <v>0</v>
      </c>
      <c r="S417" s="145">
        <f t="shared" si="49"/>
        <v>0</v>
      </c>
      <c r="T417" s="145">
        <f t="shared" si="49"/>
        <v>0</v>
      </c>
      <c r="U417" s="145">
        <f t="shared" si="49"/>
        <v>0</v>
      </c>
    </row>
    <row r="418" spans="2:21" ht="12" hidden="1" customHeight="1" outlineLevel="2">
      <c r="B418">
        <f t="shared" si="46"/>
        <v>76</v>
      </c>
      <c r="C418" s="73" t="str">
        <v>SpareOfferC6</v>
      </c>
      <c r="D418" t="s">
        <v>170</v>
      </c>
      <c r="F418" s="225">
        <f t="shared" si="50"/>
        <v>0</v>
      </c>
      <c r="H418" s="145">
        <f t="shared" si="47"/>
        <v>0</v>
      </c>
      <c r="I418" s="145">
        <f t="shared" si="47"/>
        <v>0</v>
      </c>
      <c r="J418" s="145">
        <f t="shared" si="47"/>
        <v>0</v>
      </c>
      <c r="K418" s="145">
        <f t="shared" si="47"/>
        <v>0</v>
      </c>
      <c r="L418" s="145">
        <f t="shared" si="47"/>
        <v>0</v>
      </c>
      <c r="M418" s="145">
        <f t="shared" si="47"/>
        <v>0</v>
      </c>
      <c r="O418" s="145">
        <f t="shared" si="48"/>
        <v>0</v>
      </c>
      <c r="P418" s="145">
        <f t="shared" si="48"/>
        <v>0</v>
      </c>
      <c r="Q418" s="145">
        <f t="shared" si="48"/>
        <v>0</v>
      </c>
      <c r="S418" s="145">
        <f t="shared" si="49"/>
        <v>0</v>
      </c>
      <c r="T418" s="145">
        <f t="shared" si="49"/>
        <v>0</v>
      </c>
      <c r="U418" s="145">
        <f t="shared" si="49"/>
        <v>0</v>
      </c>
    </row>
    <row r="419" spans="2:21" ht="12" hidden="1" customHeight="1" outlineLevel="2">
      <c r="B419">
        <f t="shared" si="46"/>
        <v>77</v>
      </c>
      <c r="C419" s="73" t="str">
        <v>SpareOfferC7</v>
      </c>
      <c r="D419" t="s">
        <v>170</v>
      </c>
      <c r="F419" s="225">
        <f t="shared" si="50"/>
        <v>0</v>
      </c>
      <c r="H419" s="145">
        <f t="shared" si="47"/>
        <v>0</v>
      </c>
      <c r="I419" s="145">
        <f t="shared" si="47"/>
        <v>0</v>
      </c>
      <c r="J419" s="145">
        <f t="shared" si="47"/>
        <v>0</v>
      </c>
      <c r="K419" s="145">
        <f t="shared" si="47"/>
        <v>0</v>
      </c>
      <c r="L419" s="145">
        <f t="shared" si="47"/>
        <v>0</v>
      </c>
      <c r="M419" s="145">
        <f t="shared" si="47"/>
        <v>0</v>
      </c>
      <c r="O419" s="145">
        <f t="shared" si="48"/>
        <v>0</v>
      </c>
      <c r="P419" s="145">
        <f t="shared" si="48"/>
        <v>0</v>
      </c>
      <c r="Q419" s="145">
        <f t="shared" si="48"/>
        <v>0</v>
      </c>
      <c r="S419" s="145">
        <f t="shared" si="49"/>
        <v>0</v>
      </c>
      <c r="T419" s="145">
        <f t="shared" si="49"/>
        <v>0</v>
      </c>
      <c r="U419" s="145">
        <f t="shared" si="49"/>
        <v>0</v>
      </c>
    </row>
    <row r="420" spans="2:21" ht="12" hidden="1" customHeight="1" outlineLevel="2">
      <c r="B420">
        <f t="shared" si="46"/>
        <v>78</v>
      </c>
      <c r="C420" s="73" t="str">
        <v>SpareOfferC8</v>
      </c>
      <c r="D420" t="s">
        <v>170</v>
      </c>
      <c r="F420" s="225">
        <f t="shared" si="50"/>
        <v>0</v>
      </c>
      <c r="H420" s="145">
        <f t="shared" si="47"/>
        <v>0</v>
      </c>
      <c r="I420" s="145">
        <f t="shared" si="47"/>
        <v>0</v>
      </c>
      <c r="J420" s="145">
        <f t="shared" si="47"/>
        <v>0</v>
      </c>
      <c r="K420" s="145">
        <f t="shared" si="47"/>
        <v>0</v>
      </c>
      <c r="L420" s="145">
        <f t="shared" si="47"/>
        <v>0</v>
      </c>
      <c r="M420" s="145">
        <f t="shared" si="47"/>
        <v>0</v>
      </c>
      <c r="O420" s="145">
        <f t="shared" si="48"/>
        <v>0</v>
      </c>
      <c r="P420" s="145">
        <f t="shared" si="48"/>
        <v>0</v>
      </c>
      <c r="Q420" s="145">
        <f t="shared" si="48"/>
        <v>0</v>
      </c>
      <c r="S420" s="145">
        <f t="shared" si="49"/>
        <v>0</v>
      </c>
      <c r="T420" s="145">
        <f t="shared" si="49"/>
        <v>0</v>
      </c>
      <c r="U420" s="145">
        <f t="shared" si="49"/>
        <v>0</v>
      </c>
    </row>
    <row r="421" spans="2:21" ht="12" hidden="1" customHeight="1" outlineLevel="2">
      <c r="B421">
        <f t="shared" si="46"/>
        <v>79</v>
      </c>
      <c r="C421" s="73" t="str">
        <v>SpareOfferC9</v>
      </c>
      <c r="D421" t="s">
        <v>170</v>
      </c>
      <c r="F421" s="225">
        <f t="shared" si="50"/>
        <v>0</v>
      </c>
      <c r="H421" s="145">
        <f t="shared" si="47"/>
        <v>0</v>
      </c>
      <c r="I421" s="145">
        <f t="shared" si="47"/>
        <v>0</v>
      </c>
      <c r="J421" s="145">
        <f t="shared" si="47"/>
        <v>0</v>
      </c>
      <c r="K421" s="145">
        <f t="shared" si="47"/>
        <v>0</v>
      </c>
      <c r="L421" s="145">
        <f t="shared" si="47"/>
        <v>0</v>
      </c>
      <c r="M421" s="145">
        <f t="shared" si="47"/>
        <v>0</v>
      </c>
      <c r="O421" s="145">
        <f t="shared" si="48"/>
        <v>0</v>
      </c>
      <c r="P421" s="145">
        <f t="shared" si="48"/>
        <v>0</v>
      </c>
      <c r="Q421" s="145">
        <f t="shared" si="48"/>
        <v>0</v>
      </c>
      <c r="S421" s="145">
        <f t="shared" si="49"/>
        <v>0</v>
      </c>
      <c r="T421" s="145">
        <f t="shared" si="49"/>
        <v>0</v>
      </c>
      <c r="U421" s="145">
        <f t="shared" si="49"/>
        <v>0</v>
      </c>
    </row>
    <row r="422" spans="2:21" ht="12" hidden="1" customHeight="1" outlineLevel="2">
      <c r="B422">
        <f t="shared" si="46"/>
        <v>80</v>
      </c>
      <c r="C422" s="73" t="str">
        <v>SpareOfferC10</v>
      </c>
      <c r="D422" t="s">
        <v>170</v>
      </c>
      <c r="F422" s="225">
        <f t="shared" si="50"/>
        <v>0</v>
      </c>
      <c r="H422" s="145">
        <f t="shared" si="47"/>
        <v>0</v>
      </c>
      <c r="I422" s="145">
        <f t="shared" si="47"/>
        <v>0</v>
      </c>
      <c r="J422" s="145">
        <f t="shared" si="47"/>
        <v>0</v>
      </c>
      <c r="K422" s="145">
        <f t="shared" si="47"/>
        <v>0</v>
      </c>
      <c r="L422" s="145">
        <f t="shared" si="47"/>
        <v>0</v>
      </c>
      <c r="M422" s="145">
        <f t="shared" si="47"/>
        <v>0</v>
      </c>
      <c r="O422" s="145">
        <f t="shared" si="48"/>
        <v>0</v>
      </c>
      <c r="P422" s="145">
        <f t="shared" si="48"/>
        <v>0</v>
      </c>
      <c r="Q422" s="145">
        <f t="shared" si="48"/>
        <v>0</v>
      </c>
      <c r="S422" s="145">
        <f t="shared" si="49"/>
        <v>0</v>
      </c>
      <c r="T422" s="145">
        <f t="shared" si="49"/>
        <v>0</v>
      </c>
      <c r="U422" s="145">
        <f t="shared" si="49"/>
        <v>0</v>
      </c>
    </row>
    <row r="423" spans="2:21" ht="12" hidden="1" customHeight="1" outlineLevel="2">
      <c r="B423">
        <f t="shared" si="46"/>
        <v>81</v>
      </c>
      <c r="C423" s="73" t="str">
        <v>SpareOfferC11</v>
      </c>
      <c r="D423" t="s">
        <v>170</v>
      </c>
      <c r="F423" s="225">
        <f t="shared" si="50"/>
        <v>0</v>
      </c>
      <c r="H423" s="145">
        <f t="shared" ref="H423:M432" si="51">INDEX(per.sub.revenues.by.revenues.descriptions,$B423,MATCH(H$411,revenue.descriptions.short,0))</f>
        <v>0</v>
      </c>
      <c r="I423" s="145">
        <f t="shared" si="51"/>
        <v>0</v>
      </c>
      <c r="J423" s="145">
        <f t="shared" si="51"/>
        <v>0</v>
      </c>
      <c r="K423" s="145">
        <f t="shared" si="51"/>
        <v>0</v>
      </c>
      <c r="L423" s="145">
        <f t="shared" si="51"/>
        <v>0</v>
      </c>
      <c r="M423" s="145">
        <f t="shared" si="51"/>
        <v>0</v>
      </c>
      <c r="O423" s="145">
        <f t="shared" si="48"/>
        <v>0</v>
      </c>
      <c r="P423" s="145">
        <f t="shared" si="48"/>
        <v>0</v>
      </c>
      <c r="Q423" s="145">
        <f t="shared" si="48"/>
        <v>0</v>
      </c>
      <c r="S423" s="145">
        <f t="shared" si="49"/>
        <v>0</v>
      </c>
      <c r="T423" s="145">
        <f t="shared" si="49"/>
        <v>0</v>
      </c>
      <c r="U423" s="145">
        <f t="shared" si="49"/>
        <v>0</v>
      </c>
    </row>
    <row r="424" spans="2:21" ht="12" hidden="1" customHeight="1" outlineLevel="2">
      <c r="B424">
        <f t="shared" si="46"/>
        <v>82</v>
      </c>
      <c r="C424" s="73" t="str">
        <v>SpareOfferC12</v>
      </c>
      <c r="D424" t="s">
        <v>170</v>
      </c>
      <c r="F424" s="225">
        <f t="shared" si="50"/>
        <v>0</v>
      </c>
      <c r="H424" s="145">
        <f t="shared" si="51"/>
        <v>0</v>
      </c>
      <c r="I424" s="145">
        <f t="shared" si="51"/>
        <v>0</v>
      </c>
      <c r="J424" s="145">
        <f t="shared" si="51"/>
        <v>0</v>
      </c>
      <c r="K424" s="145">
        <f t="shared" si="51"/>
        <v>0</v>
      </c>
      <c r="L424" s="145">
        <f t="shared" si="51"/>
        <v>0</v>
      </c>
      <c r="M424" s="145">
        <f t="shared" si="51"/>
        <v>0</v>
      </c>
      <c r="O424" s="145">
        <f t="shared" si="48"/>
        <v>0</v>
      </c>
      <c r="P424" s="145">
        <f t="shared" si="48"/>
        <v>0</v>
      </c>
      <c r="Q424" s="145">
        <f t="shared" si="48"/>
        <v>0</v>
      </c>
      <c r="S424" s="145">
        <f t="shared" si="49"/>
        <v>0</v>
      </c>
      <c r="T424" s="145">
        <f t="shared" si="49"/>
        <v>0</v>
      </c>
      <c r="U424" s="145">
        <f t="shared" si="49"/>
        <v>0</v>
      </c>
    </row>
    <row r="425" spans="2:21" ht="12" hidden="1" customHeight="1" outlineLevel="2">
      <c r="B425">
        <f t="shared" si="46"/>
        <v>83</v>
      </c>
      <c r="C425" s="73" t="str">
        <v>SpareOfferC13</v>
      </c>
      <c r="D425" t="s">
        <v>170</v>
      </c>
      <c r="F425" s="225">
        <f t="shared" si="50"/>
        <v>0</v>
      </c>
      <c r="H425" s="145">
        <f t="shared" si="51"/>
        <v>0</v>
      </c>
      <c r="I425" s="145">
        <f t="shared" si="51"/>
        <v>0</v>
      </c>
      <c r="J425" s="145">
        <f t="shared" si="51"/>
        <v>0</v>
      </c>
      <c r="K425" s="145">
        <f t="shared" si="51"/>
        <v>0</v>
      </c>
      <c r="L425" s="145">
        <f t="shared" si="51"/>
        <v>0</v>
      </c>
      <c r="M425" s="145">
        <f t="shared" si="51"/>
        <v>0</v>
      </c>
      <c r="O425" s="145">
        <f t="shared" si="48"/>
        <v>0</v>
      </c>
      <c r="P425" s="145">
        <f t="shared" si="48"/>
        <v>0</v>
      </c>
      <c r="Q425" s="145">
        <f t="shared" si="48"/>
        <v>0</v>
      </c>
      <c r="S425" s="145">
        <f t="shared" si="49"/>
        <v>0</v>
      </c>
      <c r="T425" s="145">
        <f t="shared" si="49"/>
        <v>0</v>
      </c>
      <c r="U425" s="145">
        <f t="shared" si="49"/>
        <v>0</v>
      </c>
    </row>
    <row r="426" spans="2:21" ht="12" hidden="1" customHeight="1" outlineLevel="2">
      <c r="B426">
        <f t="shared" si="46"/>
        <v>84</v>
      </c>
      <c r="C426" s="73" t="str">
        <v>SpareOfferC14</v>
      </c>
      <c r="D426" t="s">
        <v>170</v>
      </c>
      <c r="F426" s="225">
        <f t="shared" si="50"/>
        <v>0</v>
      </c>
      <c r="H426" s="145">
        <f t="shared" si="51"/>
        <v>0</v>
      </c>
      <c r="I426" s="145">
        <f t="shared" si="51"/>
        <v>0</v>
      </c>
      <c r="J426" s="145">
        <f t="shared" si="51"/>
        <v>0</v>
      </c>
      <c r="K426" s="145">
        <f t="shared" si="51"/>
        <v>0</v>
      </c>
      <c r="L426" s="145">
        <f t="shared" si="51"/>
        <v>0</v>
      </c>
      <c r="M426" s="145">
        <f t="shared" si="51"/>
        <v>0</v>
      </c>
      <c r="O426" s="145">
        <f t="shared" si="48"/>
        <v>0</v>
      </c>
      <c r="P426" s="145">
        <f t="shared" si="48"/>
        <v>0</v>
      </c>
      <c r="Q426" s="145">
        <f t="shared" si="48"/>
        <v>0</v>
      </c>
      <c r="S426" s="145">
        <f t="shared" si="49"/>
        <v>0</v>
      </c>
      <c r="T426" s="145">
        <f t="shared" si="49"/>
        <v>0</v>
      </c>
      <c r="U426" s="145">
        <f t="shared" si="49"/>
        <v>0</v>
      </c>
    </row>
    <row r="427" spans="2:21" ht="12" hidden="1" customHeight="1" outlineLevel="2">
      <c r="B427">
        <f t="shared" si="46"/>
        <v>85</v>
      </c>
      <c r="C427" s="73" t="str">
        <v>SpareOfferC15</v>
      </c>
      <c r="D427" t="s">
        <v>170</v>
      </c>
      <c r="F427" s="225">
        <f t="shared" si="50"/>
        <v>0</v>
      </c>
      <c r="H427" s="145">
        <f t="shared" si="51"/>
        <v>0</v>
      </c>
      <c r="I427" s="145">
        <f t="shared" si="51"/>
        <v>0</v>
      </c>
      <c r="J427" s="145">
        <f t="shared" si="51"/>
        <v>0</v>
      </c>
      <c r="K427" s="145">
        <f t="shared" si="51"/>
        <v>0</v>
      </c>
      <c r="L427" s="145">
        <f t="shared" si="51"/>
        <v>0</v>
      </c>
      <c r="M427" s="145">
        <f t="shared" si="51"/>
        <v>0</v>
      </c>
      <c r="O427" s="145">
        <f t="shared" si="48"/>
        <v>0</v>
      </c>
      <c r="P427" s="145">
        <f t="shared" si="48"/>
        <v>0</v>
      </c>
      <c r="Q427" s="145">
        <f t="shared" si="48"/>
        <v>0</v>
      </c>
      <c r="S427" s="145">
        <f t="shared" si="49"/>
        <v>0</v>
      </c>
      <c r="T427" s="145">
        <f t="shared" si="49"/>
        <v>0</v>
      </c>
      <c r="U427" s="145">
        <f t="shared" si="49"/>
        <v>0</v>
      </c>
    </row>
    <row r="428" spans="2:21" ht="12" hidden="1" customHeight="1" outlineLevel="2">
      <c r="B428">
        <f t="shared" si="46"/>
        <v>86</v>
      </c>
      <c r="C428" s="73" t="str">
        <v>SpareOfferC16</v>
      </c>
      <c r="D428" t="s">
        <v>170</v>
      </c>
      <c r="F428" s="225">
        <f t="shared" si="50"/>
        <v>0</v>
      </c>
      <c r="H428" s="145">
        <f t="shared" si="51"/>
        <v>0</v>
      </c>
      <c r="I428" s="145">
        <f t="shared" si="51"/>
        <v>0</v>
      </c>
      <c r="J428" s="145">
        <f t="shared" si="51"/>
        <v>0</v>
      </c>
      <c r="K428" s="145">
        <f t="shared" si="51"/>
        <v>0</v>
      </c>
      <c r="L428" s="145">
        <f t="shared" si="51"/>
        <v>0</v>
      </c>
      <c r="M428" s="145">
        <f t="shared" si="51"/>
        <v>0</v>
      </c>
      <c r="O428" s="145">
        <f t="shared" si="48"/>
        <v>0</v>
      </c>
      <c r="P428" s="145">
        <f t="shared" si="48"/>
        <v>0</v>
      </c>
      <c r="Q428" s="145">
        <f t="shared" si="48"/>
        <v>0</v>
      </c>
      <c r="S428" s="145">
        <f t="shared" si="49"/>
        <v>0</v>
      </c>
      <c r="T428" s="145">
        <f t="shared" si="49"/>
        <v>0</v>
      </c>
      <c r="U428" s="145">
        <f t="shared" si="49"/>
        <v>0</v>
      </c>
    </row>
    <row r="429" spans="2:21" ht="12" hidden="1" customHeight="1" outlineLevel="2">
      <c r="B429">
        <f t="shared" si="46"/>
        <v>87</v>
      </c>
      <c r="C429" s="73" t="str">
        <v>SpareOfferC17</v>
      </c>
      <c r="D429" t="s">
        <v>170</v>
      </c>
      <c r="F429" s="225">
        <f t="shared" si="50"/>
        <v>0</v>
      </c>
      <c r="H429" s="145">
        <f t="shared" si="51"/>
        <v>0</v>
      </c>
      <c r="I429" s="145">
        <f t="shared" si="51"/>
        <v>0</v>
      </c>
      <c r="J429" s="145">
        <f t="shared" si="51"/>
        <v>0</v>
      </c>
      <c r="K429" s="145">
        <f t="shared" si="51"/>
        <v>0</v>
      </c>
      <c r="L429" s="145">
        <f t="shared" si="51"/>
        <v>0</v>
      </c>
      <c r="M429" s="145">
        <f t="shared" si="51"/>
        <v>0</v>
      </c>
      <c r="O429" s="145">
        <f t="shared" si="48"/>
        <v>0</v>
      </c>
      <c r="P429" s="145">
        <f t="shared" si="48"/>
        <v>0</v>
      </c>
      <c r="Q429" s="145">
        <f t="shared" si="48"/>
        <v>0</v>
      </c>
      <c r="S429" s="145">
        <f t="shared" si="49"/>
        <v>0</v>
      </c>
      <c r="T429" s="145">
        <f t="shared" si="49"/>
        <v>0</v>
      </c>
      <c r="U429" s="145">
        <f t="shared" si="49"/>
        <v>0</v>
      </c>
    </row>
    <row r="430" spans="2:21" ht="12" hidden="1" customHeight="1" outlineLevel="2">
      <c r="B430">
        <f t="shared" si="46"/>
        <v>88</v>
      </c>
      <c r="C430" s="73" t="str">
        <v>SpareOfferC18</v>
      </c>
      <c r="D430" t="s">
        <v>170</v>
      </c>
      <c r="F430" s="225">
        <f t="shared" si="50"/>
        <v>0</v>
      </c>
      <c r="H430" s="145">
        <f t="shared" si="51"/>
        <v>0</v>
      </c>
      <c r="I430" s="145">
        <f t="shared" si="51"/>
        <v>0</v>
      </c>
      <c r="J430" s="145">
        <f t="shared" si="51"/>
        <v>0</v>
      </c>
      <c r="K430" s="145">
        <f t="shared" si="51"/>
        <v>0</v>
      </c>
      <c r="L430" s="145">
        <f t="shared" si="51"/>
        <v>0</v>
      </c>
      <c r="M430" s="145">
        <f t="shared" si="51"/>
        <v>0</v>
      </c>
      <c r="O430" s="145">
        <f t="shared" si="48"/>
        <v>0</v>
      </c>
      <c r="P430" s="145">
        <f t="shared" si="48"/>
        <v>0</v>
      </c>
      <c r="Q430" s="145">
        <f t="shared" si="48"/>
        <v>0</v>
      </c>
      <c r="S430" s="145">
        <f t="shared" si="49"/>
        <v>0</v>
      </c>
      <c r="T430" s="145">
        <f t="shared" si="49"/>
        <v>0</v>
      </c>
      <c r="U430" s="145">
        <f t="shared" si="49"/>
        <v>0</v>
      </c>
    </row>
    <row r="431" spans="2:21" ht="12" hidden="1" customHeight="1" outlineLevel="2">
      <c r="B431">
        <f t="shared" si="46"/>
        <v>89</v>
      </c>
      <c r="C431" s="73" t="str">
        <v>SpareOfferC19</v>
      </c>
      <c r="D431" t="s">
        <v>170</v>
      </c>
      <c r="F431" s="225">
        <f t="shared" si="50"/>
        <v>0</v>
      </c>
      <c r="H431" s="145">
        <f t="shared" si="51"/>
        <v>0</v>
      </c>
      <c r="I431" s="145">
        <f t="shared" si="51"/>
        <v>0</v>
      </c>
      <c r="J431" s="145">
        <f t="shared" si="51"/>
        <v>0</v>
      </c>
      <c r="K431" s="145">
        <f t="shared" si="51"/>
        <v>0</v>
      </c>
      <c r="L431" s="145">
        <f t="shared" si="51"/>
        <v>0</v>
      </c>
      <c r="M431" s="145">
        <f t="shared" si="51"/>
        <v>0</v>
      </c>
      <c r="O431" s="145">
        <f t="shared" si="48"/>
        <v>0</v>
      </c>
      <c r="P431" s="145">
        <f t="shared" si="48"/>
        <v>0</v>
      </c>
      <c r="Q431" s="145">
        <f t="shared" si="48"/>
        <v>0</v>
      </c>
      <c r="S431" s="145">
        <f t="shared" si="49"/>
        <v>0</v>
      </c>
      <c r="T431" s="145">
        <f t="shared" si="49"/>
        <v>0</v>
      </c>
      <c r="U431" s="145">
        <f t="shared" si="49"/>
        <v>0</v>
      </c>
    </row>
    <row r="432" spans="2:21" ht="12" hidden="1" customHeight="1" outlineLevel="2">
      <c r="B432">
        <f t="shared" si="46"/>
        <v>90</v>
      </c>
      <c r="C432" s="73" t="str">
        <v>SpareOfferC20</v>
      </c>
      <c r="D432" t="s">
        <v>170</v>
      </c>
      <c r="F432" s="225">
        <f t="shared" si="50"/>
        <v>0</v>
      </c>
      <c r="H432" s="145">
        <f t="shared" si="51"/>
        <v>0</v>
      </c>
      <c r="I432" s="145">
        <f t="shared" si="51"/>
        <v>0</v>
      </c>
      <c r="J432" s="145">
        <f t="shared" si="51"/>
        <v>0</v>
      </c>
      <c r="K432" s="145">
        <f t="shared" si="51"/>
        <v>0</v>
      </c>
      <c r="L432" s="145">
        <f t="shared" si="51"/>
        <v>0</v>
      </c>
      <c r="M432" s="145">
        <f t="shared" si="51"/>
        <v>0</v>
      </c>
      <c r="O432" s="145">
        <f t="shared" si="48"/>
        <v>0</v>
      </c>
      <c r="P432" s="145">
        <f t="shared" si="48"/>
        <v>0</v>
      </c>
      <c r="Q432" s="145">
        <f t="shared" si="48"/>
        <v>0</v>
      </c>
      <c r="S432" s="145">
        <f t="shared" si="49"/>
        <v>0</v>
      </c>
      <c r="T432" s="145">
        <f t="shared" si="49"/>
        <v>0</v>
      </c>
      <c r="U432" s="145">
        <f t="shared" si="49"/>
        <v>0</v>
      </c>
    </row>
    <row r="433" spans="2:21" ht="12" hidden="1" customHeight="1" outlineLevel="2">
      <c r="B433">
        <f t="shared" si="46"/>
        <v>91</v>
      </c>
      <c r="C433" s="73" t="str">
        <v>SpareOfferC21</v>
      </c>
      <c r="D433" t="s">
        <v>170</v>
      </c>
      <c r="F433" s="225">
        <f t="shared" si="50"/>
        <v>0</v>
      </c>
      <c r="H433" s="145">
        <f t="shared" ref="H433:M447" si="52">INDEX(per.sub.revenues.by.revenues.descriptions,$B433,MATCH(H$411,revenue.descriptions.short,0))</f>
        <v>0</v>
      </c>
      <c r="I433" s="145">
        <f t="shared" si="52"/>
        <v>0</v>
      </c>
      <c r="J433" s="145">
        <f t="shared" si="52"/>
        <v>0</v>
      </c>
      <c r="K433" s="145">
        <f t="shared" si="52"/>
        <v>0</v>
      </c>
      <c r="L433" s="145">
        <f t="shared" si="52"/>
        <v>0</v>
      </c>
      <c r="M433" s="145">
        <f t="shared" si="52"/>
        <v>0</v>
      </c>
      <c r="O433" s="145">
        <f t="shared" ref="O433:Q447" si="53">INDEX(per.sub.revenues.by.revenues.descriptions,$B433,MATCH(O$411,revenue.descriptions.short,0))</f>
        <v>0</v>
      </c>
      <c r="P433" s="145">
        <f t="shared" si="53"/>
        <v>0</v>
      </c>
      <c r="Q433" s="145">
        <f t="shared" si="53"/>
        <v>0</v>
      </c>
      <c r="S433" s="145">
        <f t="shared" ref="S433:U447" si="54">INDEX(per.sub.revenues.by.revenues.descriptions,$B433,MATCH(S$411,revenue.descriptions.short,0))</f>
        <v>0</v>
      </c>
      <c r="T433" s="145">
        <f t="shared" si="54"/>
        <v>0</v>
      </c>
      <c r="U433" s="145">
        <f t="shared" si="54"/>
        <v>0</v>
      </c>
    </row>
    <row r="434" spans="2:21" ht="12" hidden="1" customHeight="1" outlineLevel="2">
      <c r="B434">
        <f t="shared" si="46"/>
        <v>92</v>
      </c>
      <c r="C434" s="73" t="str">
        <v>SpareOfferC22</v>
      </c>
      <c r="D434" t="s">
        <v>170</v>
      </c>
      <c r="F434" s="225">
        <f t="shared" si="50"/>
        <v>0</v>
      </c>
      <c r="H434" s="145">
        <f t="shared" si="52"/>
        <v>0</v>
      </c>
      <c r="I434" s="145">
        <f t="shared" si="52"/>
        <v>0</v>
      </c>
      <c r="J434" s="145">
        <f t="shared" si="52"/>
        <v>0</v>
      </c>
      <c r="K434" s="145">
        <f t="shared" si="52"/>
        <v>0</v>
      </c>
      <c r="L434" s="145">
        <f t="shared" si="52"/>
        <v>0</v>
      </c>
      <c r="M434" s="145">
        <f t="shared" si="52"/>
        <v>0</v>
      </c>
      <c r="O434" s="145">
        <f t="shared" si="53"/>
        <v>0</v>
      </c>
      <c r="P434" s="145">
        <f t="shared" si="53"/>
        <v>0</v>
      </c>
      <c r="Q434" s="145">
        <f t="shared" si="53"/>
        <v>0</v>
      </c>
      <c r="S434" s="145">
        <f t="shared" si="54"/>
        <v>0</v>
      </c>
      <c r="T434" s="145">
        <f t="shared" si="54"/>
        <v>0</v>
      </c>
      <c r="U434" s="145">
        <f t="shared" si="54"/>
        <v>0</v>
      </c>
    </row>
    <row r="435" spans="2:21" ht="12" hidden="1" customHeight="1" outlineLevel="2">
      <c r="B435">
        <f t="shared" si="46"/>
        <v>93</v>
      </c>
      <c r="C435" s="73" t="str">
        <v>SpareOfferC23</v>
      </c>
      <c r="D435" t="s">
        <v>170</v>
      </c>
      <c r="F435" s="225">
        <f t="shared" si="50"/>
        <v>0</v>
      </c>
      <c r="H435" s="145">
        <f t="shared" si="52"/>
        <v>0</v>
      </c>
      <c r="I435" s="145">
        <f t="shared" si="52"/>
        <v>0</v>
      </c>
      <c r="J435" s="145">
        <f t="shared" si="52"/>
        <v>0</v>
      </c>
      <c r="K435" s="145">
        <f t="shared" si="52"/>
        <v>0</v>
      </c>
      <c r="L435" s="145">
        <f t="shared" si="52"/>
        <v>0</v>
      </c>
      <c r="M435" s="145">
        <f t="shared" si="52"/>
        <v>0</v>
      </c>
      <c r="O435" s="145">
        <f t="shared" si="53"/>
        <v>0</v>
      </c>
      <c r="P435" s="145">
        <f t="shared" si="53"/>
        <v>0</v>
      </c>
      <c r="Q435" s="145">
        <f t="shared" si="53"/>
        <v>0</v>
      </c>
      <c r="S435" s="145">
        <f t="shared" si="54"/>
        <v>0</v>
      </c>
      <c r="T435" s="145">
        <f t="shared" si="54"/>
        <v>0</v>
      </c>
      <c r="U435" s="145">
        <f t="shared" si="54"/>
        <v>0</v>
      </c>
    </row>
    <row r="436" spans="2:21" ht="12" hidden="1" customHeight="1" outlineLevel="2">
      <c r="B436">
        <f t="shared" si="46"/>
        <v>94</v>
      </c>
      <c r="C436" s="73" t="str">
        <v>SpareOfferC24</v>
      </c>
      <c r="D436" t="s">
        <v>170</v>
      </c>
      <c r="F436" s="225">
        <f t="shared" si="50"/>
        <v>0</v>
      </c>
      <c r="H436" s="145">
        <f t="shared" si="52"/>
        <v>0</v>
      </c>
      <c r="I436" s="145">
        <f t="shared" si="52"/>
        <v>0</v>
      </c>
      <c r="J436" s="145">
        <f t="shared" si="52"/>
        <v>0</v>
      </c>
      <c r="K436" s="145">
        <f t="shared" si="52"/>
        <v>0</v>
      </c>
      <c r="L436" s="145">
        <f t="shared" si="52"/>
        <v>0</v>
      </c>
      <c r="M436" s="145">
        <f t="shared" si="52"/>
        <v>0</v>
      </c>
      <c r="O436" s="145">
        <f t="shared" si="53"/>
        <v>0</v>
      </c>
      <c r="P436" s="145">
        <f t="shared" si="53"/>
        <v>0</v>
      </c>
      <c r="Q436" s="145">
        <f t="shared" si="53"/>
        <v>0</v>
      </c>
      <c r="S436" s="145">
        <f t="shared" si="54"/>
        <v>0</v>
      </c>
      <c r="T436" s="145">
        <f t="shared" si="54"/>
        <v>0</v>
      </c>
      <c r="U436" s="145">
        <f t="shared" si="54"/>
        <v>0</v>
      </c>
    </row>
    <row r="437" spans="2:21" ht="12" hidden="1" customHeight="1" outlineLevel="2">
      <c r="B437">
        <f t="shared" si="46"/>
        <v>95</v>
      </c>
      <c r="C437" s="73" t="str">
        <v>SpareOfferC25</v>
      </c>
      <c r="D437" t="s">
        <v>170</v>
      </c>
      <c r="F437" s="225">
        <f t="shared" si="50"/>
        <v>0</v>
      </c>
      <c r="H437" s="145">
        <f t="shared" si="52"/>
        <v>0</v>
      </c>
      <c r="I437" s="145">
        <f t="shared" si="52"/>
        <v>0</v>
      </c>
      <c r="J437" s="145">
        <f t="shared" si="52"/>
        <v>0</v>
      </c>
      <c r="K437" s="145">
        <f t="shared" si="52"/>
        <v>0</v>
      </c>
      <c r="L437" s="145">
        <f t="shared" si="52"/>
        <v>0</v>
      </c>
      <c r="M437" s="145">
        <f t="shared" si="52"/>
        <v>0</v>
      </c>
      <c r="O437" s="145">
        <f t="shared" si="53"/>
        <v>0</v>
      </c>
      <c r="P437" s="145">
        <f t="shared" si="53"/>
        <v>0</v>
      </c>
      <c r="Q437" s="145">
        <f t="shared" si="53"/>
        <v>0</v>
      </c>
      <c r="S437" s="145">
        <f t="shared" si="54"/>
        <v>0</v>
      </c>
      <c r="T437" s="145">
        <f t="shared" si="54"/>
        <v>0</v>
      </c>
      <c r="U437" s="145">
        <f t="shared" si="54"/>
        <v>0</v>
      </c>
    </row>
    <row r="438" spans="2:21" ht="12" hidden="1" customHeight="1" outlineLevel="2">
      <c r="B438">
        <f t="shared" si="46"/>
        <v>96</v>
      </c>
      <c r="C438" s="73" t="str">
        <v>SpareOfferC26</v>
      </c>
      <c r="D438" t="s">
        <v>170</v>
      </c>
      <c r="F438" s="225">
        <f t="shared" si="50"/>
        <v>0</v>
      </c>
      <c r="H438" s="145">
        <f t="shared" si="52"/>
        <v>0</v>
      </c>
      <c r="I438" s="145">
        <f t="shared" si="52"/>
        <v>0</v>
      </c>
      <c r="J438" s="145">
        <f t="shared" si="52"/>
        <v>0</v>
      </c>
      <c r="K438" s="145">
        <f t="shared" si="52"/>
        <v>0</v>
      </c>
      <c r="L438" s="145">
        <f t="shared" si="52"/>
        <v>0</v>
      </c>
      <c r="M438" s="145">
        <f t="shared" si="52"/>
        <v>0</v>
      </c>
      <c r="O438" s="145">
        <f t="shared" si="53"/>
        <v>0</v>
      </c>
      <c r="P438" s="145">
        <f t="shared" si="53"/>
        <v>0</v>
      </c>
      <c r="Q438" s="145">
        <f t="shared" si="53"/>
        <v>0</v>
      </c>
      <c r="S438" s="145">
        <f t="shared" si="54"/>
        <v>0</v>
      </c>
      <c r="T438" s="145">
        <f t="shared" si="54"/>
        <v>0</v>
      </c>
      <c r="U438" s="145">
        <f t="shared" si="54"/>
        <v>0</v>
      </c>
    </row>
    <row r="439" spans="2:21" ht="12" hidden="1" customHeight="1" outlineLevel="2">
      <c r="B439">
        <f t="shared" si="46"/>
        <v>97</v>
      </c>
      <c r="C439" s="73" t="str">
        <v>SpareOfferC27</v>
      </c>
      <c r="D439" t="s">
        <v>170</v>
      </c>
      <c r="F439" s="225">
        <f t="shared" si="50"/>
        <v>0</v>
      </c>
      <c r="H439" s="145">
        <f t="shared" si="52"/>
        <v>0</v>
      </c>
      <c r="I439" s="145">
        <f t="shared" si="52"/>
        <v>0</v>
      </c>
      <c r="J439" s="145">
        <f t="shared" si="52"/>
        <v>0</v>
      </c>
      <c r="K439" s="145">
        <f t="shared" si="52"/>
        <v>0</v>
      </c>
      <c r="L439" s="145">
        <f t="shared" si="52"/>
        <v>0</v>
      </c>
      <c r="M439" s="145">
        <f t="shared" si="52"/>
        <v>0</v>
      </c>
      <c r="O439" s="145">
        <f t="shared" si="53"/>
        <v>0</v>
      </c>
      <c r="P439" s="145">
        <f t="shared" si="53"/>
        <v>0</v>
      </c>
      <c r="Q439" s="145">
        <f t="shared" si="53"/>
        <v>0</v>
      </c>
      <c r="S439" s="145">
        <f t="shared" si="54"/>
        <v>0</v>
      </c>
      <c r="T439" s="145">
        <f t="shared" si="54"/>
        <v>0</v>
      </c>
      <c r="U439" s="145">
        <f t="shared" si="54"/>
        <v>0</v>
      </c>
    </row>
    <row r="440" spans="2:21" ht="12" hidden="1" customHeight="1" outlineLevel="2">
      <c r="B440">
        <f t="shared" si="46"/>
        <v>98</v>
      </c>
      <c r="C440" s="73" t="str">
        <v>SpareOfferC28</v>
      </c>
      <c r="D440" t="s">
        <v>170</v>
      </c>
      <c r="F440" s="225">
        <f t="shared" si="50"/>
        <v>0</v>
      </c>
      <c r="H440" s="145">
        <f t="shared" si="52"/>
        <v>0</v>
      </c>
      <c r="I440" s="145">
        <f t="shared" si="52"/>
        <v>0</v>
      </c>
      <c r="J440" s="145">
        <f t="shared" si="52"/>
        <v>0</v>
      </c>
      <c r="K440" s="145">
        <f t="shared" si="52"/>
        <v>0</v>
      </c>
      <c r="L440" s="145">
        <f t="shared" si="52"/>
        <v>0</v>
      </c>
      <c r="M440" s="145">
        <f t="shared" si="52"/>
        <v>0</v>
      </c>
      <c r="O440" s="145">
        <f t="shared" si="53"/>
        <v>0</v>
      </c>
      <c r="P440" s="145">
        <f t="shared" si="53"/>
        <v>0</v>
      </c>
      <c r="Q440" s="145">
        <f t="shared" si="53"/>
        <v>0</v>
      </c>
      <c r="S440" s="145">
        <f t="shared" si="54"/>
        <v>0</v>
      </c>
      <c r="T440" s="145">
        <f t="shared" si="54"/>
        <v>0</v>
      </c>
      <c r="U440" s="145">
        <f t="shared" si="54"/>
        <v>0</v>
      </c>
    </row>
    <row r="441" spans="2:21" ht="12" hidden="1" customHeight="1" outlineLevel="2">
      <c r="B441">
        <f t="shared" si="46"/>
        <v>99</v>
      </c>
      <c r="C441" s="73" t="str">
        <v>SpareOfferC29</v>
      </c>
      <c r="D441" t="s">
        <v>170</v>
      </c>
      <c r="F441" s="225">
        <f t="shared" si="50"/>
        <v>0</v>
      </c>
      <c r="H441" s="145">
        <f t="shared" si="52"/>
        <v>0</v>
      </c>
      <c r="I441" s="145">
        <f t="shared" si="52"/>
        <v>0</v>
      </c>
      <c r="J441" s="145">
        <f t="shared" si="52"/>
        <v>0</v>
      </c>
      <c r="K441" s="145">
        <f t="shared" si="52"/>
        <v>0</v>
      </c>
      <c r="L441" s="145">
        <f t="shared" si="52"/>
        <v>0</v>
      </c>
      <c r="M441" s="145">
        <f t="shared" si="52"/>
        <v>0</v>
      </c>
      <c r="O441" s="145">
        <f t="shared" si="53"/>
        <v>0</v>
      </c>
      <c r="P441" s="145">
        <f t="shared" si="53"/>
        <v>0</v>
      </c>
      <c r="Q441" s="145">
        <f t="shared" si="53"/>
        <v>0</v>
      </c>
      <c r="S441" s="145">
        <f t="shared" si="54"/>
        <v>0</v>
      </c>
      <c r="T441" s="145">
        <f t="shared" si="54"/>
        <v>0</v>
      </c>
      <c r="U441" s="145">
        <f t="shared" si="54"/>
        <v>0</v>
      </c>
    </row>
    <row r="442" spans="2:21" ht="12" hidden="1" customHeight="1" outlineLevel="2">
      <c r="B442">
        <f t="shared" si="46"/>
        <v>100</v>
      </c>
      <c r="C442" s="73" t="str">
        <v>SpareOfferC30</v>
      </c>
      <c r="D442" t="s">
        <v>170</v>
      </c>
      <c r="F442" s="225">
        <f t="shared" si="50"/>
        <v>0</v>
      </c>
      <c r="H442" s="145">
        <f t="shared" si="52"/>
        <v>0</v>
      </c>
      <c r="I442" s="145">
        <f t="shared" si="52"/>
        <v>0</v>
      </c>
      <c r="J442" s="145">
        <f t="shared" si="52"/>
        <v>0</v>
      </c>
      <c r="K442" s="145">
        <f t="shared" si="52"/>
        <v>0</v>
      </c>
      <c r="L442" s="145">
        <f t="shared" si="52"/>
        <v>0</v>
      </c>
      <c r="M442" s="145">
        <f t="shared" si="52"/>
        <v>0</v>
      </c>
      <c r="O442" s="145">
        <f t="shared" si="53"/>
        <v>0</v>
      </c>
      <c r="P442" s="145">
        <f t="shared" si="53"/>
        <v>0</v>
      </c>
      <c r="Q442" s="145">
        <f t="shared" si="53"/>
        <v>0</v>
      </c>
      <c r="S442" s="145">
        <f t="shared" si="54"/>
        <v>0</v>
      </c>
      <c r="T442" s="145">
        <f t="shared" si="54"/>
        <v>0</v>
      </c>
      <c r="U442" s="145">
        <f t="shared" si="54"/>
        <v>0</v>
      </c>
    </row>
    <row r="443" spans="2:21" ht="12" hidden="1" customHeight="1" outlineLevel="2">
      <c r="B443">
        <f t="shared" si="46"/>
        <v>101</v>
      </c>
      <c r="C443" s="73" t="str">
        <v>SpareOfferC31</v>
      </c>
      <c r="D443" t="s">
        <v>170</v>
      </c>
      <c r="F443" s="225">
        <f t="shared" si="50"/>
        <v>0</v>
      </c>
      <c r="H443" s="145">
        <f t="shared" si="52"/>
        <v>0</v>
      </c>
      <c r="I443" s="145">
        <f t="shared" si="52"/>
        <v>0</v>
      </c>
      <c r="J443" s="145">
        <f t="shared" si="52"/>
        <v>0</v>
      </c>
      <c r="K443" s="145">
        <f t="shared" si="52"/>
        <v>0</v>
      </c>
      <c r="L443" s="145">
        <f t="shared" si="52"/>
        <v>0</v>
      </c>
      <c r="M443" s="145">
        <f t="shared" si="52"/>
        <v>0</v>
      </c>
      <c r="O443" s="145">
        <f t="shared" si="53"/>
        <v>0</v>
      </c>
      <c r="P443" s="145">
        <f t="shared" si="53"/>
        <v>0</v>
      </c>
      <c r="Q443" s="145">
        <f t="shared" si="53"/>
        <v>0</v>
      </c>
      <c r="S443" s="145">
        <f t="shared" si="54"/>
        <v>0</v>
      </c>
      <c r="T443" s="145">
        <f t="shared" si="54"/>
        <v>0</v>
      </c>
      <c r="U443" s="145">
        <f t="shared" si="54"/>
        <v>0</v>
      </c>
    </row>
    <row r="444" spans="2:21" ht="12" hidden="1" customHeight="1" outlineLevel="2">
      <c r="B444">
        <f t="shared" si="46"/>
        <v>102</v>
      </c>
      <c r="C444" s="73" t="str">
        <v>SpareOfferC32</v>
      </c>
      <c r="D444" t="s">
        <v>170</v>
      </c>
      <c r="F444" s="225">
        <f t="shared" si="50"/>
        <v>0</v>
      </c>
      <c r="H444" s="145">
        <f t="shared" si="52"/>
        <v>0</v>
      </c>
      <c r="I444" s="145">
        <f t="shared" si="52"/>
        <v>0</v>
      </c>
      <c r="J444" s="145">
        <f t="shared" si="52"/>
        <v>0</v>
      </c>
      <c r="K444" s="145">
        <f t="shared" si="52"/>
        <v>0</v>
      </c>
      <c r="L444" s="145">
        <f t="shared" si="52"/>
        <v>0</v>
      </c>
      <c r="M444" s="145">
        <f t="shared" si="52"/>
        <v>0</v>
      </c>
      <c r="O444" s="145">
        <f t="shared" si="53"/>
        <v>0</v>
      </c>
      <c r="P444" s="145">
        <f t="shared" si="53"/>
        <v>0</v>
      </c>
      <c r="Q444" s="145">
        <f t="shared" si="53"/>
        <v>0</v>
      </c>
      <c r="S444" s="145">
        <f t="shared" si="54"/>
        <v>0</v>
      </c>
      <c r="T444" s="145">
        <f t="shared" si="54"/>
        <v>0</v>
      </c>
      <c r="U444" s="145">
        <f t="shared" si="54"/>
        <v>0</v>
      </c>
    </row>
    <row r="445" spans="2:21" ht="12" hidden="1" customHeight="1" outlineLevel="2">
      <c r="B445">
        <f t="shared" si="46"/>
        <v>103</v>
      </c>
      <c r="C445" s="73" t="str">
        <v>SpareOfferC33</v>
      </c>
      <c r="D445" t="s">
        <v>170</v>
      </c>
      <c r="F445" s="225">
        <f t="shared" si="50"/>
        <v>0</v>
      </c>
      <c r="H445" s="145">
        <f t="shared" si="52"/>
        <v>0</v>
      </c>
      <c r="I445" s="145">
        <f t="shared" si="52"/>
        <v>0</v>
      </c>
      <c r="J445" s="145">
        <f t="shared" si="52"/>
        <v>0</v>
      </c>
      <c r="K445" s="145">
        <f t="shared" si="52"/>
        <v>0</v>
      </c>
      <c r="L445" s="145">
        <f t="shared" si="52"/>
        <v>0</v>
      </c>
      <c r="M445" s="145">
        <f t="shared" si="52"/>
        <v>0</v>
      </c>
      <c r="O445" s="145">
        <f t="shared" si="53"/>
        <v>0</v>
      </c>
      <c r="P445" s="145">
        <f t="shared" si="53"/>
        <v>0</v>
      </c>
      <c r="Q445" s="145">
        <f t="shared" si="53"/>
        <v>0</v>
      </c>
      <c r="S445" s="145">
        <f t="shared" si="54"/>
        <v>0</v>
      </c>
      <c r="T445" s="145">
        <f t="shared" si="54"/>
        <v>0</v>
      </c>
      <c r="U445" s="145">
        <f t="shared" si="54"/>
        <v>0</v>
      </c>
    </row>
    <row r="446" spans="2:21" ht="12" hidden="1" customHeight="1" outlineLevel="2">
      <c r="B446">
        <f t="shared" si="46"/>
        <v>104</v>
      </c>
      <c r="C446" s="73" t="str">
        <v>SpareOfferC34</v>
      </c>
      <c r="D446" t="s">
        <v>170</v>
      </c>
      <c r="F446" s="225">
        <f t="shared" si="50"/>
        <v>0</v>
      </c>
      <c r="H446" s="145">
        <f t="shared" si="52"/>
        <v>0</v>
      </c>
      <c r="I446" s="145">
        <f t="shared" si="52"/>
        <v>0</v>
      </c>
      <c r="J446" s="145">
        <f t="shared" si="52"/>
        <v>0</v>
      </c>
      <c r="K446" s="145">
        <f t="shared" si="52"/>
        <v>0</v>
      </c>
      <c r="L446" s="145">
        <f t="shared" si="52"/>
        <v>0</v>
      </c>
      <c r="M446" s="145">
        <f t="shared" si="52"/>
        <v>0</v>
      </c>
      <c r="O446" s="145">
        <f t="shared" si="53"/>
        <v>0</v>
      </c>
      <c r="P446" s="145">
        <f t="shared" si="53"/>
        <v>0</v>
      </c>
      <c r="Q446" s="145">
        <f t="shared" si="53"/>
        <v>0</v>
      </c>
      <c r="S446" s="145">
        <f t="shared" si="54"/>
        <v>0</v>
      </c>
      <c r="T446" s="145">
        <f t="shared" si="54"/>
        <v>0</v>
      </c>
      <c r="U446" s="145">
        <f t="shared" si="54"/>
        <v>0</v>
      </c>
    </row>
    <row r="447" spans="2:21" outlineLevel="1" collapsed="1">
      <c r="B447">
        <f t="shared" si="46"/>
        <v>105</v>
      </c>
      <c r="C447" s="73" t="str">
        <v>SpareOfferC35</v>
      </c>
      <c r="D447" t="s">
        <v>170</v>
      </c>
      <c r="F447" s="225">
        <f t="shared" si="50"/>
        <v>0</v>
      </c>
      <c r="H447" s="145">
        <f t="shared" si="52"/>
        <v>0</v>
      </c>
      <c r="I447" s="145">
        <f t="shared" si="52"/>
        <v>0</v>
      </c>
      <c r="J447" s="145">
        <f t="shared" si="52"/>
        <v>0</v>
      </c>
      <c r="K447" s="145">
        <f t="shared" si="52"/>
        <v>0</v>
      </c>
      <c r="L447" s="145">
        <f t="shared" si="52"/>
        <v>0</v>
      </c>
      <c r="M447" s="145">
        <f t="shared" si="52"/>
        <v>0</v>
      </c>
      <c r="O447" s="145">
        <f t="shared" si="53"/>
        <v>0</v>
      </c>
      <c r="P447" s="145">
        <f t="shared" si="53"/>
        <v>0</v>
      </c>
      <c r="Q447" s="145">
        <f t="shared" si="53"/>
        <v>0</v>
      </c>
      <c r="S447" s="145">
        <f t="shared" si="54"/>
        <v>0</v>
      </c>
      <c r="T447" s="145">
        <f t="shared" si="54"/>
        <v>0</v>
      </c>
      <c r="U447" s="145">
        <f t="shared" si="54"/>
        <v>0</v>
      </c>
    </row>
    <row r="448" spans="2:21" outlineLevel="1"/>
    <row r="449" spans="2:10" outlineLevel="1">
      <c r="B449" s="91" t="s">
        <v>197</v>
      </c>
      <c r="H449" s="223">
        <f t="array" ref="H449:J449">Incoming.termination</f>
        <v>0</v>
      </c>
      <c r="I449" s="223">
        <v>0</v>
      </c>
      <c r="J449" s="223">
        <v>0</v>
      </c>
    </row>
    <row r="450" spans="2:10" ht="23" outlineLevel="1">
      <c r="F450" s="1" t="s">
        <v>171</v>
      </c>
      <c r="H450" s="95" t="str">
        <f t="array" ref="H450:J450">options.selected.termination</f>
        <v>Voice termination</v>
      </c>
      <c r="I450" s="95" t="str">
        <v>Message termination</v>
      </c>
      <c r="J450" s="95" t="str">
        <v>Spare 1</v>
      </c>
    </row>
    <row r="451" spans="2:10" outlineLevel="1">
      <c r="C451" s="1" t="s">
        <v>309</v>
      </c>
      <c r="D451" t="s">
        <v>170</v>
      </c>
      <c r="F451" s="146">
        <f>SUMPRODUCT(subscription.split.segment.3,F452:F486)</f>
        <v>0</v>
      </c>
      <c r="H451" s="146">
        <f>SUMPRODUCT(subscription.split.segment.3,H452:H486)</f>
        <v>0</v>
      </c>
      <c r="I451" s="146">
        <f>SUMPRODUCT(subscription.split.segment.3,I452:I486)</f>
        <v>0</v>
      </c>
      <c r="J451" s="146">
        <f>SUMPRODUCT(subscription.split.segment.3,J452:J486)</f>
        <v>0</v>
      </c>
    </row>
    <row r="452" spans="2:10" outlineLevel="1">
      <c r="B452">
        <f t="shared" ref="B452:B486" si="55">MATCH(C452,offers.segment.all,0)</f>
        <v>71</v>
      </c>
      <c r="C452" s="73" t="str">
        <f t="array" ref="C452:C486">offers.segment.3</f>
        <v>SpareOfferC1</v>
      </c>
      <c r="D452" t="s">
        <v>170</v>
      </c>
      <c r="F452" s="226">
        <f>SUM(H452:J452)</f>
        <v>0</v>
      </c>
      <c r="H452" s="161">
        <f t="shared" ref="H452:J471" si="56">INDEX(per.sub.volumes.by.demand.descriptions,$B452,MATCH(H$450,demand.descriptions.short,0))*H$449</f>
        <v>0</v>
      </c>
      <c r="I452" s="122">
        <f t="shared" ref="I452:I486" si="57">IF(wholesale.offer.type.selected=lbl.SP,0,INDEX(per.sub.revenues.by.revenues.descriptions,$B452,MATCH(I$450,revenue.descriptions.short,0)))</f>
        <v>0</v>
      </c>
      <c r="J452" s="161">
        <f t="shared" si="56"/>
        <v>0</v>
      </c>
    </row>
    <row r="453" spans="2:10" hidden="1" outlineLevel="2">
      <c r="B453">
        <f t="shared" si="55"/>
        <v>72</v>
      </c>
      <c r="C453" s="73" t="str">
        <v>SpareOfferC2</v>
      </c>
      <c r="D453" t="s">
        <v>170</v>
      </c>
      <c r="F453" s="226">
        <f t="shared" ref="F453:F486" si="58">SUM(H453:J453)</f>
        <v>0</v>
      </c>
      <c r="H453" s="161">
        <f t="shared" si="56"/>
        <v>0</v>
      </c>
      <c r="I453" s="122">
        <f t="shared" si="57"/>
        <v>0</v>
      </c>
      <c r="J453" s="161">
        <f t="shared" si="56"/>
        <v>0</v>
      </c>
    </row>
    <row r="454" spans="2:10" hidden="1" outlineLevel="2">
      <c r="B454">
        <f t="shared" si="55"/>
        <v>73</v>
      </c>
      <c r="C454" s="73" t="str">
        <v>SpareOfferC3</v>
      </c>
      <c r="D454" t="s">
        <v>170</v>
      </c>
      <c r="F454" s="226">
        <f t="shared" si="58"/>
        <v>0</v>
      </c>
      <c r="H454" s="161">
        <f t="shared" si="56"/>
        <v>0</v>
      </c>
      <c r="I454" s="122">
        <f t="shared" si="57"/>
        <v>0</v>
      </c>
      <c r="J454" s="161">
        <f t="shared" si="56"/>
        <v>0</v>
      </c>
    </row>
    <row r="455" spans="2:10" hidden="1" outlineLevel="2">
      <c r="B455">
        <f t="shared" si="55"/>
        <v>74</v>
      </c>
      <c r="C455" s="73" t="str">
        <v>SpareOfferC4</v>
      </c>
      <c r="D455" t="s">
        <v>170</v>
      </c>
      <c r="F455" s="226">
        <f t="shared" si="58"/>
        <v>0</v>
      </c>
      <c r="H455" s="161">
        <f t="shared" si="56"/>
        <v>0</v>
      </c>
      <c r="I455" s="122">
        <f t="shared" si="57"/>
        <v>0</v>
      </c>
      <c r="J455" s="161">
        <f t="shared" si="56"/>
        <v>0</v>
      </c>
    </row>
    <row r="456" spans="2:10" hidden="1" outlineLevel="2">
      <c r="B456">
        <f t="shared" si="55"/>
        <v>75</v>
      </c>
      <c r="C456" s="73" t="str">
        <v>SpareOfferC5</v>
      </c>
      <c r="D456" t="s">
        <v>170</v>
      </c>
      <c r="F456" s="226">
        <f t="shared" si="58"/>
        <v>0</v>
      </c>
      <c r="H456" s="161">
        <f t="shared" si="56"/>
        <v>0</v>
      </c>
      <c r="I456" s="122">
        <f t="shared" si="57"/>
        <v>0</v>
      </c>
      <c r="J456" s="161">
        <f t="shared" si="56"/>
        <v>0</v>
      </c>
    </row>
    <row r="457" spans="2:10" hidden="1" outlineLevel="2">
      <c r="B457">
        <f t="shared" si="55"/>
        <v>76</v>
      </c>
      <c r="C457" s="73" t="str">
        <v>SpareOfferC6</v>
      </c>
      <c r="D457" t="s">
        <v>170</v>
      </c>
      <c r="F457" s="226">
        <f t="shared" si="58"/>
        <v>0</v>
      </c>
      <c r="H457" s="161">
        <f t="shared" si="56"/>
        <v>0</v>
      </c>
      <c r="I457" s="122">
        <f t="shared" si="57"/>
        <v>0</v>
      </c>
      <c r="J457" s="161">
        <f t="shared" si="56"/>
        <v>0</v>
      </c>
    </row>
    <row r="458" spans="2:10" hidden="1" outlineLevel="2">
      <c r="B458">
        <f t="shared" si="55"/>
        <v>77</v>
      </c>
      <c r="C458" s="73" t="str">
        <v>SpareOfferC7</v>
      </c>
      <c r="D458" t="s">
        <v>170</v>
      </c>
      <c r="F458" s="226">
        <f t="shared" si="58"/>
        <v>0</v>
      </c>
      <c r="H458" s="161">
        <f t="shared" si="56"/>
        <v>0</v>
      </c>
      <c r="I458" s="122">
        <f t="shared" si="57"/>
        <v>0</v>
      </c>
      <c r="J458" s="161">
        <f t="shared" si="56"/>
        <v>0</v>
      </c>
    </row>
    <row r="459" spans="2:10" hidden="1" outlineLevel="2">
      <c r="B459">
        <f t="shared" si="55"/>
        <v>78</v>
      </c>
      <c r="C459" s="73" t="str">
        <v>SpareOfferC8</v>
      </c>
      <c r="D459" t="s">
        <v>170</v>
      </c>
      <c r="F459" s="226">
        <f t="shared" si="58"/>
        <v>0</v>
      </c>
      <c r="H459" s="161">
        <f t="shared" si="56"/>
        <v>0</v>
      </c>
      <c r="I459" s="122">
        <f t="shared" si="57"/>
        <v>0</v>
      </c>
      <c r="J459" s="161">
        <f t="shared" si="56"/>
        <v>0</v>
      </c>
    </row>
    <row r="460" spans="2:10" hidden="1" outlineLevel="2">
      <c r="B460">
        <f t="shared" si="55"/>
        <v>79</v>
      </c>
      <c r="C460" s="73" t="str">
        <v>SpareOfferC9</v>
      </c>
      <c r="D460" t="s">
        <v>170</v>
      </c>
      <c r="F460" s="226">
        <f t="shared" si="58"/>
        <v>0</v>
      </c>
      <c r="H460" s="161">
        <f t="shared" si="56"/>
        <v>0</v>
      </c>
      <c r="I460" s="122">
        <f t="shared" si="57"/>
        <v>0</v>
      </c>
      <c r="J460" s="161">
        <f t="shared" si="56"/>
        <v>0</v>
      </c>
    </row>
    <row r="461" spans="2:10" hidden="1" outlineLevel="2">
      <c r="B461">
        <f t="shared" si="55"/>
        <v>80</v>
      </c>
      <c r="C461" s="73" t="str">
        <v>SpareOfferC10</v>
      </c>
      <c r="D461" t="s">
        <v>170</v>
      </c>
      <c r="F461" s="226">
        <f t="shared" si="58"/>
        <v>0</v>
      </c>
      <c r="H461" s="161">
        <f t="shared" si="56"/>
        <v>0</v>
      </c>
      <c r="I461" s="122">
        <f t="shared" si="57"/>
        <v>0</v>
      </c>
      <c r="J461" s="161">
        <f t="shared" si="56"/>
        <v>0</v>
      </c>
    </row>
    <row r="462" spans="2:10" hidden="1" outlineLevel="2">
      <c r="B462">
        <f t="shared" si="55"/>
        <v>81</v>
      </c>
      <c r="C462" s="73" t="str">
        <v>SpareOfferC11</v>
      </c>
      <c r="D462" t="s">
        <v>170</v>
      </c>
      <c r="F462" s="226">
        <f t="shared" si="58"/>
        <v>0</v>
      </c>
      <c r="H462" s="161">
        <f t="shared" si="56"/>
        <v>0</v>
      </c>
      <c r="I462" s="122">
        <f t="shared" si="57"/>
        <v>0</v>
      </c>
      <c r="J462" s="161">
        <f t="shared" si="56"/>
        <v>0</v>
      </c>
    </row>
    <row r="463" spans="2:10" hidden="1" outlineLevel="2">
      <c r="B463">
        <f t="shared" si="55"/>
        <v>82</v>
      </c>
      <c r="C463" s="73" t="str">
        <v>SpareOfferC12</v>
      </c>
      <c r="D463" t="s">
        <v>170</v>
      </c>
      <c r="F463" s="226">
        <f t="shared" si="58"/>
        <v>0</v>
      </c>
      <c r="H463" s="161">
        <f t="shared" si="56"/>
        <v>0</v>
      </c>
      <c r="I463" s="122">
        <f t="shared" si="57"/>
        <v>0</v>
      </c>
      <c r="J463" s="161">
        <f t="shared" si="56"/>
        <v>0</v>
      </c>
    </row>
    <row r="464" spans="2:10" hidden="1" outlineLevel="2">
      <c r="B464">
        <f t="shared" si="55"/>
        <v>83</v>
      </c>
      <c r="C464" s="73" t="str">
        <v>SpareOfferC13</v>
      </c>
      <c r="D464" t="s">
        <v>170</v>
      </c>
      <c r="F464" s="226">
        <f t="shared" si="58"/>
        <v>0</v>
      </c>
      <c r="H464" s="161">
        <f t="shared" si="56"/>
        <v>0</v>
      </c>
      <c r="I464" s="122">
        <f t="shared" si="57"/>
        <v>0</v>
      </c>
      <c r="J464" s="161">
        <f t="shared" si="56"/>
        <v>0</v>
      </c>
    </row>
    <row r="465" spans="2:10" hidden="1" outlineLevel="2">
      <c r="B465">
        <f t="shared" si="55"/>
        <v>84</v>
      </c>
      <c r="C465" s="73" t="str">
        <v>SpareOfferC14</v>
      </c>
      <c r="D465" t="s">
        <v>170</v>
      </c>
      <c r="F465" s="226">
        <f t="shared" si="58"/>
        <v>0</v>
      </c>
      <c r="H465" s="161">
        <f t="shared" si="56"/>
        <v>0</v>
      </c>
      <c r="I465" s="122">
        <f t="shared" si="57"/>
        <v>0</v>
      </c>
      <c r="J465" s="161">
        <f t="shared" si="56"/>
        <v>0</v>
      </c>
    </row>
    <row r="466" spans="2:10" hidden="1" outlineLevel="2">
      <c r="B466">
        <f t="shared" si="55"/>
        <v>85</v>
      </c>
      <c r="C466" s="73" t="str">
        <v>SpareOfferC15</v>
      </c>
      <c r="D466" t="s">
        <v>170</v>
      </c>
      <c r="F466" s="226">
        <f t="shared" si="58"/>
        <v>0</v>
      </c>
      <c r="H466" s="161">
        <f t="shared" si="56"/>
        <v>0</v>
      </c>
      <c r="I466" s="122">
        <f t="shared" si="57"/>
        <v>0</v>
      </c>
      <c r="J466" s="161">
        <f t="shared" si="56"/>
        <v>0</v>
      </c>
    </row>
    <row r="467" spans="2:10" hidden="1" outlineLevel="2">
      <c r="B467">
        <f t="shared" si="55"/>
        <v>86</v>
      </c>
      <c r="C467" s="73" t="str">
        <v>SpareOfferC16</v>
      </c>
      <c r="D467" t="s">
        <v>170</v>
      </c>
      <c r="F467" s="226">
        <f t="shared" si="58"/>
        <v>0</v>
      </c>
      <c r="H467" s="161">
        <f t="shared" si="56"/>
        <v>0</v>
      </c>
      <c r="I467" s="122">
        <f t="shared" si="57"/>
        <v>0</v>
      </c>
      <c r="J467" s="161">
        <f t="shared" si="56"/>
        <v>0</v>
      </c>
    </row>
    <row r="468" spans="2:10" hidden="1" outlineLevel="2">
      <c r="B468">
        <f t="shared" si="55"/>
        <v>87</v>
      </c>
      <c r="C468" s="73" t="str">
        <v>SpareOfferC17</v>
      </c>
      <c r="D468" t="s">
        <v>170</v>
      </c>
      <c r="F468" s="226">
        <f t="shared" si="58"/>
        <v>0</v>
      </c>
      <c r="H468" s="161">
        <f t="shared" si="56"/>
        <v>0</v>
      </c>
      <c r="I468" s="122">
        <f t="shared" si="57"/>
        <v>0</v>
      </c>
      <c r="J468" s="161">
        <f t="shared" si="56"/>
        <v>0</v>
      </c>
    </row>
    <row r="469" spans="2:10" hidden="1" outlineLevel="2">
      <c r="B469">
        <f t="shared" si="55"/>
        <v>88</v>
      </c>
      <c r="C469" s="73" t="str">
        <v>SpareOfferC18</v>
      </c>
      <c r="D469" t="s">
        <v>170</v>
      </c>
      <c r="F469" s="226">
        <f t="shared" si="58"/>
        <v>0</v>
      </c>
      <c r="H469" s="161">
        <f t="shared" si="56"/>
        <v>0</v>
      </c>
      <c r="I469" s="122">
        <f t="shared" si="57"/>
        <v>0</v>
      </c>
      <c r="J469" s="161">
        <f t="shared" si="56"/>
        <v>0</v>
      </c>
    </row>
    <row r="470" spans="2:10" hidden="1" outlineLevel="2">
      <c r="B470">
        <f t="shared" si="55"/>
        <v>89</v>
      </c>
      <c r="C470" s="73" t="str">
        <v>SpareOfferC19</v>
      </c>
      <c r="D470" t="s">
        <v>170</v>
      </c>
      <c r="F470" s="226">
        <f t="shared" si="58"/>
        <v>0</v>
      </c>
      <c r="H470" s="161">
        <f t="shared" si="56"/>
        <v>0</v>
      </c>
      <c r="I470" s="122">
        <f t="shared" si="57"/>
        <v>0</v>
      </c>
      <c r="J470" s="161">
        <f t="shared" si="56"/>
        <v>0</v>
      </c>
    </row>
    <row r="471" spans="2:10" hidden="1" outlineLevel="2">
      <c r="B471">
        <f t="shared" si="55"/>
        <v>90</v>
      </c>
      <c r="C471" s="73" t="str">
        <v>SpareOfferC20</v>
      </c>
      <c r="D471" t="s">
        <v>170</v>
      </c>
      <c r="F471" s="226">
        <f t="shared" si="58"/>
        <v>0</v>
      </c>
      <c r="H471" s="161">
        <f t="shared" si="56"/>
        <v>0</v>
      </c>
      <c r="I471" s="122">
        <f t="shared" si="57"/>
        <v>0</v>
      </c>
      <c r="J471" s="161">
        <f t="shared" si="56"/>
        <v>0</v>
      </c>
    </row>
    <row r="472" spans="2:10" hidden="1" outlineLevel="2">
      <c r="B472">
        <f t="shared" si="55"/>
        <v>91</v>
      </c>
      <c r="C472" s="73" t="str">
        <v>SpareOfferC21</v>
      </c>
      <c r="D472" t="s">
        <v>170</v>
      </c>
      <c r="F472" s="226">
        <f t="shared" si="58"/>
        <v>0</v>
      </c>
      <c r="H472" s="161">
        <f t="shared" ref="H472:J486" si="59">INDEX(per.sub.volumes.by.demand.descriptions,$B472,MATCH(H$450,demand.descriptions.short,0))*H$449</f>
        <v>0</v>
      </c>
      <c r="I472" s="122">
        <f t="shared" si="57"/>
        <v>0</v>
      </c>
      <c r="J472" s="161">
        <f t="shared" si="59"/>
        <v>0</v>
      </c>
    </row>
    <row r="473" spans="2:10" hidden="1" outlineLevel="2">
      <c r="B473">
        <f t="shared" si="55"/>
        <v>92</v>
      </c>
      <c r="C473" s="73" t="str">
        <v>SpareOfferC22</v>
      </c>
      <c r="D473" t="s">
        <v>170</v>
      </c>
      <c r="F473" s="226">
        <f t="shared" si="58"/>
        <v>0</v>
      </c>
      <c r="H473" s="161">
        <f t="shared" si="59"/>
        <v>0</v>
      </c>
      <c r="I473" s="122">
        <f t="shared" si="57"/>
        <v>0</v>
      </c>
      <c r="J473" s="161">
        <f t="shared" si="59"/>
        <v>0</v>
      </c>
    </row>
    <row r="474" spans="2:10" hidden="1" outlineLevel="2">
      <c r="B474">
        <f t="shared" si="55"/>
        <v>93</v>
      </c>
      <c r="C474" s="73" t="str">
        <v>SpareOfferC23</v>
      </c>
      <c r="D474" t="s">
        <v>170</v>
      </c>
      <c r="F474" s="226">
        <f t="shared" si="58"/>
        <v>0</v>
      </c>
      <c r="H474" s="161">
        <f t="shared" si="59"/>
        <v>0</v>
      </c>
      <c r="I474" s="122">
        <f t="shared" si="57"/>
        <v>0</v>
      </c>
      <c r="J474" s="161">
        <f t="shared" si="59"/>
        <v>0</v>
      </c>
    </row>
    <row r="475" spans="2:10" hidden="1" outlineLevel="2">
      <c r="B475">
        <f t="shared" si="55"/>
        <v>94</v>
      </c>
      <c r="C475" s="73" t="str">
        <v>SpareOfferC24</v>
      </c>
      <c r="D475" t="s">
        <v>170</v>
      </c>
      <c r="F475" s="226">
        <f t="shared" si="58"/>
        <v>0</v>
      </c>
      <c r="H475" s="161">
        <f t="shared" si="59"/>
        <v>0</v>
      </c>
      <c r="I475" s="122">
        <f t="shared" si="57"/>
        <v>0</v>
      </c>
      <c r="J475" s="161">
        <f t="shared" si="59"/>
        <v>0</v>
      </c>
    </row>
    <row r="476" spans="2:10" hidden="1" outlineLevel="2">
      <c r="B476">
        <f t="shared" si="55"/>
        <v>95</v>
      </c>
      <c r="C476" s="73" t="str">
        <v>SpareOfferC25</v>
      </c>
      <c r="D476" t="s">
        <v>170</v>
      </c>
      <c r="F476" s="226">
        <f t="shared" si="58"/>
        <v>0</v>
      </c>
      <c r="H476" s="161">
        <f t="shared" si="59"/>
        <v>0</v>
      </c>
      <c r="I476" s="122">
        <f t="shared" si="57"/>
        <v>0</v>
      </c>
      <c r="J476" s="161">
        <f t="shared" si="59"/>
        <v>0</v>
      </c>
    </row>
    <row r="477" spans="2:10" hidden="1" outlineLevel="2">
      <c r="B477">
        <f t="shared" si="55"/>
        <v>96</v>
      </c>
      <c r="C477" s="73" t="str">
        <v>SpareOfferC26</v>
      </c>
      <c r="D477" t="s">
        <v>170</v>
      </c>
      <c r="F477" s="226">
        <f t="shared" si="58"/>
        <v>0</v>
      </c>
      <c r="H477" s="161">
        <f t="shared" si="59"/>
        <v>0</v>
      </c>
      <c r="I477" s="122">
        <f t="shared" si="57"/>
        <v>0</v>
      </c>
      <c r="J477" s="161">
        <f t="shared" si="59"/>
        <v>0</v>
      </c>
    </row>
    <row r="478" spans="2:10" hidden="1" outlineLevel="2">
      <c r="B478">
        <f t="shared" si="55"/>
        <v>97</v>
      </c>
      <c r="C478" s="73" t="str">
        <v>SpareOfferC27</v>
      </c>
      <c r="D478" t="s">
        <v>170</v>
      </c>
      <c r="F478" s="226">
        <f t="shared" si="58"/>
        <v>0</v>
      </c>
      <c r="H478" s="161">
        <f t="shared" si="59"/>
        <v>0</v>
      </c>
      <c r="I478" s="122">
        <f t="shared" si="57"/>
        <v>0</v>
      </c>
      <c r="J478" s="161">
        <f t="shared" si="59"/>
        <v>0</v>
      </c>
    </row>
    <row r="479" spans="2:10" hidden="1" outlineLevel="2">
      <c r="B479">
        <f t="shared" si="55"/>
        <v>98</v>
      </c>
      <c r="C479" s="73" t="str">
        <v>SpareOfferC28</v>
      </c>
      <c r="D479" t="s">
        <v>170</v>
      </c>
      <c r="F479" s="226">
        <f t="shared" si="58"/>
        <v>0</v>
      </c>
      <c r="H479" s="161">
        <f t="shared" si="59"/>
        <v>0</v>
      </c>
      <c r="I479" s="122">
        <f t="shared" si="57"/>
        <v>0</v>
      </c>
      <c r="J479" s="161">
        <f t="shared" si="59"/>
        <v>0</v>
      </c>
    </row>
    <row r="480" spans="2:10" hidden="1" outlineLevel="2">
      <c r="B480">
        <f t="shared" si="55"/>
        <v>99</v>
      </c>
      <c r="C480" s="73" t="str">
        <v>SpareOfferC29</v>
      </c>
      <c r="D480" t="s">
        <v>170</v>
      </c>
      <c r="F480" s="226">
        <f t="shared" si="58"/>
        <v>0</v>
      </c>
      <c r="H480" s="161">
        <f t="shared" si="59"/>
        <v>0</v>
      </c>
      <c r="I480" s="122">
        <f t="shared" si="57"/>
        <v>0</v>
      </c>
      <c r="J480" s="161">
        <f t="shared" si="59"/>
        <v>0</v>
      </c>
    </row>
    <row r="481" spans="1:10" hidden="1" outlineLevel="2">
      <c r="B481">
        <f t="shared" si="55"/>
        <v>100</v>
      </c>
      <c r="C481" s="73" t="str">
        <v>SpareOfferC30</v>
      </c>
      <c r="D481" t="s">
        <v>170</v>
      </c>
      <c r="F481" s="226">
        <f t="shared" si="58"/>
        <v>0</v>
      </c>
      <c r="H481" s="161">
        <f t="shared" si="59"/>
        <v>0</v>
      </c>
      <c r="I481" s="122">
        <f t="shared" si="57"/>
        <v>0</v>
      </c>
      <c r="J481" s="161">
        <f t="shared" si="59"/>
        <v>0</v>
      </c>
    </row>
    <row r="482" spans="1:10" hidden="1" outlineLevel="2">
      <c r="B482">
        <f t="shared" si="55"/>
        <v>101</v>
      </c>
      <c r="C482" s="73" t="str">
        <v>SpareOfferC31</v>
      </c>
      <c r="D482" t="s">
        <v>170</v>
      </c>
      <c r="F482" s="226">
        <f t="shared" si="58"/>
        <v>0</v>
      </c>
      <c r="H482" s="161">
        <f t="shared" si="59"/>
        <v>0</v>
      </c>
      <c r="I482" s="122">
        <f t="shared" si="57"/>
        <v>0</v>
      </c>
      <c r="J482" s="161">
        <f t="shared" si="59"/>
        <v>0</v>
      </c>
    </row>
    <row r="483" spans="1:10" hidden="1" outlineLevel="2">
      <c r="B483">
        <f t="shared" si="55"/>
        <v>102</v>
      </c>
      <c r="C483" s="73" t="str">
        <v>SpareOfferC32</v>
      </c>
      <c r="D483" t="s">
        <v>170</v>
      </c>
      <c r="F483" s="226">
        <f t="shared" si="58"/>
        <v>0</v>
      </c>
      <c r="H483" s="161">
        <f t="shared" si="59"/>
        <v>0</v>
      </c>
      <c r="I483" s="122">
        <f t="shared" si="57"/>
        <v>0</v>
      </c>
      <c r="J483" s="161">
        <f t="shared" si="59"/>
        <v>0</v>
      </c>
    </row>
    <row r="484" spans="1:10" hidden="1" outlineLevel="2">
      <c r="B484">
        <f t="shared" si="55"/>
        <v>103</v>
      </c>
      <c r="C484" s="73" t="str">
        <v>SpareOfferC33</v>
      </c>
      <c r="D484" t="s">
        <v>170</v>
      </c>
      <c r="F484" s="226">
        <f t="shared" si="58"/>
        <v>0</v>
      </c>
      <c r="H484" s="161">
        <f t="shared" si="59"/>
        <v>0</v>
      </c>
      <c r="I484" s="122">
        <f t="shared" si="57"/>
        <v>0</v>
      </c>
      <c r="J484" s="161">
        <f t="shared" si="59"/>
        <v>0</v>
      </c>
    </row>
    <row r="485" spans="1:10" hidden="1" outlineLevel="2">
      <c r="B485">
        <f t="shared" si="55"/>
        <v>104</v>
      </c>
      <c r="C485" s="73" t="str">
        <v>SpareOfferC34</v>
      </c>
      <c r="D485" t="s">
        <v>170</v>
      </c>
      <c r="F485" s="226">
        <f t="shared" si="58"/>
        <v>0</v>
      </c>
      <c r="H485" s="161">
        <f t="shared" si="59"/>
        <v>0</v>
      </c>
      <c r="I485" s="122">
        <f t="shared" si="57"/>
        <v>0</v>
      </c>
      <c r="J485" s="161">
        <f t="shared" si="59"/>
        <v>0</v>
      </c>
    </row>
    <row r="486" spans="1:10" outlineLevel="1" collapsed="1">
      <c r="B486">
        <f t="shared" si="55"/>
        <v>105</v>
      </c>
      <c r="C486" s="73" t="str">
        <v>SpareOfferC35</v>
      </c>
      <c r="D486" t="s">
        <v>170</v>
      </c>
      <c r="F486" s="226">
        <f t="shared" si="58"/>
        <v>0</v>
      </c>
      <c r="H486" s="161">
        <f t="shared" si="59"/>
        <v>0</v>
      </c>
      <c r="I486" s="122">
        <f t="shared" si="57"/>
        <v>0</v>
      </c>
      <c r="J486" s="161">
        <f t="shared" si="59"/>
        <v>0</v>
      </c>
    </row>
    <row r="487" spans="1:10" outlineLevel="1" collapsed="1"/>
    <row r="488" spans="1:10" s="220" customFormat="1">
      <c r="A488" s="220">
        <v>4</v>
      </c>
      <c r="B488" s="221" t="str">
        <f>INDEX(segments,A488)</f>
        <v>SpareSegmentD</v>
      </c>
      <c r="C488" s="207"/>
    </row>
    <row r="489" spans="1:10" outlineLevel="1"/>
    <row r="490" spans="1:10" outlineLevel="1">
      <c r="B490" s="91" t="s">
        <v>388</v>
      </c>
      <c r="F490" s="1" t="s">
        <v>171</v>
      </c>
    </row>
    <row r="491" spans="1:10" outlineLevel="1">
      <c r="C491" s="1" t="s">
        <v>309</v>
      </c>
      <c r="D491" s="93" t="s">
        <v>196</v>
      </c>
      <c r="F491" s="146">
        <f>SUMPRODUCT(subscription.split.segment.4,F492:F526)</f>
        <v>0</v>
      </c>
    </row>
    <row r="492" spans="1:10" outlineLevel="1">
      <c r="C492" s="73" t="str">
        <f t="array" ref="C492:C526">offers.segment.4</f>
        <v>SpareOfferD1</v>
      </c>
      <c r="D492" t="s">
        <v>170</v>
      </c>
      <c r="F492" s="148">
        <f>F532+F571+F610</f>
        <v>0</v>
      </c>
    </row>
    <row r="493" spans="1:10" hidden="1" outlineLevel="2">
      <c r="C493" s="73" t="str">
        <v>SpareOfferD2</v>
      </c>
      <c r="D493" t="s">
        <v>170</v>
      </c>
      <c r="F493" s="148">
        <f t="shared" ref="F493:F526" si="60">F533+F572+F611</f>
        <v>0</v>
      </c>
    </row>
    <row r="494" spans="1:10" hidden="1" outlineLevel="2">
      <c r="C494" s="73" t="str">
        <v>SpareOfferD3</v>
      </c>
      <c r="D494" t="s">
        <v>170</v>
      </c>
      <c r="F494" s="148">
        <f t="shared" si="60"/>
        <v>0</v>
      </c>
    </row>
    <row r="495" spans="1:10" hidden="1" outlineLevel="2">
      <c r="C495" s="73" t="str">
        <v>SpareOfferD4</v>
      </c>
      <c r="D495" t="s">
        <v>170</v>
      </c>
      <c r="F495" s="148">
        <f t="shared" si="60"/>
        <v>0</v>
      </c>
    </row>
    <row r="496" spans="1:10" hidden="1" outlineLevel="2">
      <c r="C496" s="73" t="str">
        <v>SpareOfferD5</v>
      </c>
      <c r="D496" t="s">
        <v>170</v>
      </c>
      <c r="F496" s="148">
        <f t="shared" si="60"/>
        <v>0</v>
      </c>
    </row>
    <row r="497" spans="3:6" hidden="1" outlineLevel="2">
      <c r="C497" s="73" t="str">
        <v>SpareOfferD6</v>
      </c>
      <c r="D497" t="s">
        <v>170</v>
      </c>
      <c r="F497" s="148">
        <f t="shared" si="60"/>
        <v>0</v>
      </c>
    </row>
    <row r="498" spans="3:6" hidden="1" outlineLevel="2">
      <c r="C498" s="73" t="str">
        <v>SpareOfferD7</v>
      </c>
      <c r="D498" t="s">
        <v>170</v>
      </c>
      <c r="F498" s="148">
        <f t="shared" si="60"/>
        <v>0</v>
      </c>
    </row>
    <row r="499" spans="3:6" hidden="1" outlineLevel="2">
      <c r="C499" s="73" t="str">
        <v>SpareOfferD8</v>
      </c>
      <c r="D499" t="s">
        <v>170</v>
      </c>
      <c r="F499" s="148">
        <f t="shared" si="60"/>
        <v>0</v>
      </c>
    </row>
    <row r="500" spans="3:6" hidden="1" outlineLevel="2">
      <c r="C500" s="73" t="str">
        <v>SpareOfferD9</v>
      </c>
      <c r="D500" t="s">
        <v>170</v>
      </c>
      <c r="F500" s="148">
        <f t="shared" si="60"/>
        <v>0</v>
      </c>
    </row>
    <row r="501" spans="3:6" hidden="1" outlineLevel="2">
      <c r="C501" s="73" t="str">
        <v>SpareOfferD10</v>
      </c>
      <c r="D501" t="s">
        <v>170</v>
      </c>
      <c r="F501" s="148">
        <f t="shared" si="60"/>
        <v>0</v>
      </c>
    </row>
    <row r="502" spans="3:6" hidden="1" outlineLevel="2">
      <c r="C502" s="73" t="str">
        <v>SpareOfferD11</v>
      </c>
      <c r="D502" t="s">
        <v>170</v>
      </c>
      <c r="F502" s="148">
        <f t="shared" si="60"/>
        <v>0</v>
      </c>
    </row>
    <row r="503" spans="3:6" hidden="1" outlineLevel="2">
      <c r="C503" s="73" t="str">
        <v>SpareOfferD12</v>
      </c>
      <c r="D503" t="s">
        <v>170</v>
      </c>
      <c r="F503" s="148">
        <f t="shared" si="60"/>
        <v>0</v>
      </c>
    </row>
    <row r="504" spans="3:6" hidden="1" outlineLevel="2">
      <c r="C504" s="73" t="str">
        <v>SpareOfferD13</v>
      </c>
      <c r="D504" t="s">
        <v>170</v>
      </c>
      <c r="F504" s="148">
        <f t="shared" si="60"/>
        <v>0</v>
      </c>
    </row>
    <row r="505" spans="3:6" hidden="1" outlineLevel="2">
      <c r="C505" s="73" t="str">
        <v>SpareOfferD14</v>
      </c>
      <c r="D505" t="s">
        <v>170</v>
      </c>
      <c r="F505" s="148">
        <f t="shared" si="60"/>
        <v>0</v>
      </c>
    </row>
    <row r="506" spans="3:6" hidden="1" outlineLevel="2">
      <c r="C506" s="73" t="str">
        <v>SpareOfferD15</v>
      </c>
      <c r="D506" t="s">
        <v>170</v>
      </c>
      <c r="F506" s="148">
        <f t="shared" si="60"/>
        <v>0</v>
      </c>
    </row>
    <row r="507" spans="3:6" hidden="1" outlineLevel="2">
      <c r="C507" s="73" t="str">
        <v>SpareOfferD16</v>
      </c>
      <c r="D507" t="s">
        <v>170</v>
      </c>
      <c r="F507" s="148">
        <f t="shared" si="60"/>
        <v>0</v>
      </c>
    </row>
    <row r="508" spans="3:6" hidden="1" outlineLevel="2">
      <c r="C508" s="73" t="str">
        <v>SpareOfferD17</v>
      </c>
      <c r="D508" t="s">
        <v>170</v>
      </c>
      <c r="F508" s="148">
        <f t="shared" si="60"/>
        <v>0</v>
      </c>
    </row>
    <row r="509" spans="3:6" hidden="1" outlineLevel="2">
      <c r="C509" s="73" t="str">
        <v>SpareOfferD18</v>
      </c>
      <c r="D509" t="s">
        <v>170</v>
      </c>
      <c r="F509" s="148">
        <f t="shared" si="60"/>
        <v>0</v>
      </c>
    </row>
    <row r="510" spans="3:6" hidden="1" outlineLevel="2">
      <c r="C510" s="73" t="str">
        <v>SpareOfferD19</v>
      </c>
      <c r="D510" t="s">
        <v>170</v>
      </c>
      <c r="F510" s="148">
        <f t="shared" si="60"/>
        <v>0</v>
      </c>
    </row>
    <row r="511" spans="3:6" hidden="1" outlineLevel="2">
      <c r="C511" s="73" t="str">
        <v>SpareOfferD20</v>
      </c>
      <c r="D511" t="s">
        <v>170</v>
      </c>
      <c r="F511" s="148">
        <f t="shared" si="60"/>
        <v>0</v>
      </c>
    </row>
    <row r="512" spans="3:6" hidden="1" outlineLevel="2">
      <c r="C512" s="73" t="str">
        <v>SpareOfferD21</v>
      </c>
      <c r="D512" t="s">
        <v>170</v>
      </c>
      <c r="F512" s="148">
        <f t="shared" si="60"/>
        <v>0</v>
      </c>
    </row>
    <row r="513" spans="3:6" hidden="1" outlineLevel="2">
      <c r="C513" s="73" t="str">
        <v>SpareOfferD22</v>
      </c>
      <c r="D513" t="s">
        <v>170</v>
      </c>
      <c r="F513" s="148">
        <f t="shared" si="60"/>
        <v>0</v>
      </c>
    </row>
    <row r="514" spans="3:6" hidden="1" outlineLevel="2">
      <c r="C514" s="73" t="str">
        <v>SpareOfferD23</v>
      </c>
      <c r="D514" t="s">
        <v>170</v>
      </c>
      <c r="F514" s="148">
        <f t="shared" si="60"/>
        <v>0</v>
      </c>
    </row>
    <row r="515" spans="3:6" hidden="1" outlineLevel="2">
      <c r="C515" s="73" t="str">
        <v>SpareOfferD24</v>
      </c>
      <c r="D515" t="s">
        <v>170</v>
      </c>
      <c r="F515" s="148">
        <f t="shared" si="60"/>
        <v>0</v>
      </c>
    </row>
    <row r="516" spans="3:6" hidden="1" outlineLevel="2">
      <c r="C516" s="73" t="str">
        <v>SpareOfferD25</v>
      </c>
      <c r="D516" t="s">
        <v>170</v>
      </c>
      <c r="F516" s="148">
        <f t="shared" si="60"/>
        <v>0</v>
      </c>
    </row>
    <row r="517" spans="3:6" hidden="1" outlineLevel="2">
      <c r="C517" s="73" t="str">
        <v>SpareOfferD26</v>
      </c>
      <c r="D517" t="s">
        <v>170</v>
      </c>
      <c r="F517" s="148">
        <f t="shared" si="60"/>
        <v>0</v>
      </c>
    </row>
    <row r="518" spans="3:6" hidden="1" outlineLevel="2">
      <c r="C518" s="73" t="str">
        <v>SpareOfferD27</v>
      </c>
      <c r="D518" t="s">
        <v>170</v>
      </c>
      <c r="F518" s="148">
        <f t="shared" si="60"/>
        <v>0</v>
      </c>
    </row>
    <row r="519" spans="3:6" hidden="1" outlineLevel="2">
      <c r="C519" s="73" t="str">
        <v>SpareOfferD28</v>
      </c>
      <c r="D519" t="s">
        <v>170</v>
      </c>
      <c r="F519" s="148">
        <f t="shared" si="60"/>
        <v>0</v>
      </c>
    </row>
    <row r="520" spans="3:6" hidden="1" outlineLevel="2">
      <c r="C520" s="73" t="str">
        <v>SpareOfferD29</v>
      </c>
      <c r="D520" t="s">
        <v>170</v>
      </c>
      <c r="F520" s="148">
        <f t="shared" si="60"/>
        <v>0</v>
      </c>
    </row>
    <row r="521" spans="3:6" hidden="1" outlineLevel="2">
      <c r="C521" s="73" t="str">
        <v>SpareOfferD30</v>
      </c>
      <c r="D521" t="s">
        <v>170</v>
      </c>
      <c r="F521" s="148">
        <f t="shared" si="60"/>
        <v>0</v>
      </c>
    </row>
    <row r="522" spans="3:6" hidden="1" outlineLevel="2">
      <c r="C522" s="73" t="str">
        <v>SpareOfferD31</v>
      </c>
      <c r="D522" t="s">
        <v>170</v>
      </c>
      <c r="F522" s="148">
        <f t="shared" si="60"/>
        <v>0</v>
      </c>
    </row>
    <row r="523" spans="3:6" hidden="1" outlineLevel="2">
      <c r="C523" s="73" t="str">
        <v>SpareOfferD32</v>
      </c>
      <c r="D523" t="s">
        <v>170</v>
      </c>
      <c r="F523" s="148">
        <f t="shared" si="60"/>
        <v>0</v>
      </c>
    </row>
    <row r="524" spans="3:6" hidden="1" outlineLevel="2">
      <c r="C524" s="73" t="str">
        <v>SpareOfferD33</v>
      </c>
      <c r="D524" t="s">
        <v>170</v>
      </c>
      <c r="F524" s="148">
        <f t="shared" si="60"/>
        <v>0</v>
      </c>
    </row>
    <row r="525" spans="3:6" hidden="1" outlineLevel="2">
      <c r="C525" s="73" t="str">
        <v>SpareOfferD34</v>
      </c>
      <c r="D525" t="s">
        <v>170</v>
      </c>
      <c r="F525" s="148">
        <f t="shared" si="60"/>
        <v>0</v>
      </c>
    </row>
    <row r="526" spans="3:6" outlineLevel="1" collapsed="1">
      <c r="C526" s="73" t="str">
        <v>-</v>
      </c>
      <c r="D526" t="s">
        <v>170</v>
      </c>
      <c r="F526" s="148">
        <f t="shared" si="60"/>
        <v>0</v>
      </c>
    </row>
    <row r="527" spans="3:6" ht="12" outlineLevel="1">
      <c r="F527" s="43" t="s">
        <v>258</v>
      </c>
    </row>
    <row r="528" spans="3:6" outlineLevel="1"/>
    <row r="529" spans="2:10" outlineLevel="1">
      <c r="B529" s="91" t="s">
        <v>311</v>
      </c>
      <c r="H529" s="165" t="s">
        <v>276</v>
      </c>
      <c r="I529" s="165"/>
      <c r="J529" s="165"/>
    </row>
    <row r="530" spans="2:10" ht="23" outlineLevel="1">
      <c r="F530" s="1" t="s">
        <v>171</v>
      </c>
      <c r="H530" s="1" t="str">
        <f t="array" ref="H530:J530">options.selected.monthly</f>
        <v>Recurring</v>
      </c>
      <c r="I530" s="1" t="str">
        <v>Other fees</v>
      </c>
      <c r="J530" s="1" t="str">
        <v>Breach of lock-in</v>
      </c>
    </row>
    <row r="531" spans="2:10" outlineLevel="1">
      <c r="C531" s="1" t="s">
        <v>309</v>
      </c>
      <c r="D531" t="s">
        <v>170</v>
      </c>
      <c r="F531" s="146">
        <f>SUMPRODUCT(subscription.split.segment.4,F532:F566)</f>
        <v>0</v>
      </c>
      <c r="H531" s="146">
        <f>SUMPRODUCT(subscription.split.segment.4,H532:H566)</f>
        <v>0</v>
      </c>
      <c r="I531" s="146">
        <f>SUMPRODUCT(subscription.split.segment.4,I532:I566)</f>
        <v>0</v>
      </c>
      <c r="J531" s="146">
        <f>SUMPRODUCT(subscription.split.segment.4,J532:J566)</f>
        <v>0</v>
      </c>
    </row>
    <row r="532" spans="2:10" outlineLevel="1">
      <c r="B532">
        <f t="shared" ref="B532:B566" si="61">MATCH(C532,offers.segment.all,0)</f>
        <v>106</v>
      </c>
      <c r="C532" s="73" t="str">
        <f t="array" ref="C532:C566">offers.segment.4</f>
        <v>SpareOfferD1</v>
      </c>
      <c r="D532" t="s">
        <v>170</v>
      </c>
      <c r="F532" s="168">
        <f>SUM(H532:J532)</f>
        <v>0</v>
      </c>
      <c r="G532" s="129"/>
      <c r="H532" s="145">
        <f t="shared" ref="H532:J551" si="62">INDEX(per.sub.revenues.by.revenues.descriptions,$B532,MATCH(H$530,revenue.descriptions.short,0))</f>
        <v>0</v>
      </c>
      <c r="I532" s="145">
        <f t="shared" si="62"/>
        <v>0</v>
      </c>
      <c r="J532" s="145">
        <f t="shared" si="62"/>
        <v>0</v>
      </c>
    </row>
    <row r="533" spans="2:10" hidden="1" outlineLevel="2">
      <c r="B533">
        <f t="shared" si="61"/>
        <v>107</v>
      </c>
      <c r="C533" s="73" t="str">
        <v>SpareOfferD2</v>
      </c>
      <c r="D533" t="s">
        <v>170</v>
      </c>
      <c r="F533" s="168">
        <f t="shared" ref="F533:F566" si="63">SUM(H533:J533)</f>
        <v>0</v>
      </c>
      <c r="G533" s="129"/>
      <c r="H533" s="145">
        <f t="shared" si="62"/>
        <v>0</v>
      </c>
      <c r="I533" s="145">
        <f t="shared" si="62"/>
        <v>0</v>
      </c>
      <c r="J533" s="145">
        <f t="shared" si="62"/>
        <v>0</v>
      </c>
    </row>
    <row r="534" spans="2:10" hidden="1" outlineLevel="2">
      <c r="B534">
        <f t="shared" si="61"/>
        <v>108</v>
      </c>
      <c r="C534" s="73" t="str">
        <v>SpareOfferD3</v>
      </c>
      <c r="D534" t="s">
        <v>170</v>
      </c>
      <c r="F534" s="168">
        <f t="shared" si="63"/>
        <v>0</v>
      </c>
      <c r="G534" s="129"/>
      <c r="H534" s="145">
        <f t="shared" si="62"/>
        <v>0</v>
      </c>
      <c r="I534" s="145">
        <f t="shared" si="62"/>
        <v>0</v>
      </c>
      <c r="J534" s="145">
        <f t="shared" si="62"/>
        <v>0</v>
      </c>
    </row>
    <row r="535" spans="2:10" hidden="1" outlineLevel="2">
      <c r="B535">
        <f t="shared" si="61"/>
        <v>109</v>
      </c>
      <c r="C535" s="73" t="str">
        <v>SpareOfferD4</v>
      </c>
      <c r="D535" t="s">
        <v>170</v>
      </c>
      <c r="F535" s="168">
        <f t="shared" si="63"/>
        <v>0</v>
      </c>
      <c r="G535" s="129"/>
      <c r="H535" s="145">
        <f t="shared" si="62"/>
        <v>0</v>
      </c>
      <c r="I535" s="145">
        <f t="shared" si="62"/>
        <v>0</v>
      </c>
      <c r="J535" s="145">
        <f t="shared" si="62"/>
        <v>0</v>
      </c>
    </row>
    <row r="536" spans="2:10" hidden="1" outlineLevel="2">
      <c r="B536">
        <f t="shared" si="61"/>
        <v>110</v>
      </c>
      <c r="C536" s="73" t="str">
        <v>SpareOfferD5</v>
      </c>
      <c r="D536" t="s">
        <v>170</v>
      </c>
      <c r="F536" s="168">
        <f t="shared" si="63"/>
        <v>0</v>
      </c>
      <c r="G536" s="129"/>
      <c r="H536" s="145">
        <f t="shared" si="62"/>
        <v>0</v>
      </c>
      <c r="I536" s="145">
        <f t="shared" si="62"/>
        <v>0</v>
      </c>
      <c r="J536" s="145">
        <f t="shared" si="62"/>
        <v>0</v>
      </c>
    </row>
    <row r="537" spans="2:10" hidden="1" outlineLevel="2">
      <c r="B537">
        <f t="shared" si="61"/>
        <v>111</v>
      </c>
      <c r="C537" s="73" t="str">
        <v>SpareOfferD6</v>
      </c>
      <c r="D537" t="s">
        <v>170</v>
      </c>
      <c r="F537" s="168">
        <f t="shared" si="63"/>
        <v>0</v>
      </c>
      <c r="G537" s="129"/>
      <c r="H537" s="145">
        <f t="shared" si="62"/>
        <v>0</v>
      </c>
      <c r="I537" s="145">
        <f t="shared" si="62"/>
        <v>0</v>
      </c>
      <c r="J537" s="145">
        <f t="shared" si="62"/>
        <v>0</v>
      </c>
    </row>
    <row r="538" spans="2:10" hidden="1" outlineLevel="2">
      <c r="B538">
        <f t="shared" si="61"/>
        <v>112</v>
      </c>
      <c r="C538" s="73" t="str">
        <v>SpareOfferD7</v>
      </c>
      <c r="D538" t="s">
        <v>170</v>
      </c>
      <c r="F538" s="168">
        <f t="shared" si="63"/>
        <v>0</v>
      </c>
      <c r="G538" s="129"/>
      <c r="H538" s="145">
        <f t="shared" si="62"/>
        <v>0</v>
      </c>
      <c r="I538" s="145">
        <f t="shared" si="62"/>
        <v>0</v>
      </c>
      <c r="J538" s="145">
        <f t="shared" si="62"/>
        <v>0</v>
      </c>
    </row>
    <row r="539" spans="2:10" hidden="1" outlineLevel="2">
      <c r="B539">
        <f t="shared" si="61"/>
        <v>113</v>
      </c>
      <c r="C539" s="73" t="str">
        <v>SpareOfferD8</v>
      </c>
      <c r="D539" t="s">
        <v>170</v>
      </c>
      <c r="F539" s="168">
        <f t="shared" si="63"/>
        <v>0</v>
      </c>
      <c r="G539" s="129"/>
      <c r="H539" s="145">
        <f t="shared" si="62"/>
        <v>0</v>
      </c>
      <c r="I539" s="145">
        <f t="shared" si="62"/>
        <v>0</v>
      </c>
      <c r="J539" s="145">
        <f t="shared" si="62"/>
        <v>0</v>
      </c>
    </row>
    <row r="540" spans="2:10" hidden="1" outlineLevel="2">
      <c r="B540">
        <f t="shared" si="61"/>
        <v>114</v>
      </c>
      <c r="C540" s="73" t="str">
        <v>SpareOfferD9</v>
      </c>
      <c r="D540" t="s">
        <v>170</v>
      </c>
      <c r="F540" s="168">
        <f t="shared" si="63"/>
        <v>0</v>
      </c>
      <c r="G540" s="129"/>
      <c r="H540" s="145">
        <f t="shared" si="62"/>
        <v>0</v>
      </c>
      <c r="I540" s="145">
        <f t="shared" si="62"/>
        <v>0</v>
      </c>
      <c r="J540" s="145">
        <f t="shared" si="62"/>
        <v>0</v>
      </c>
    </row>
    <row r="541" spans="2:10" hidden="1" outlineLevel="2">
      <c r="B541">
        <f t="shared" si="61"/>
        <v>115</v>
      </c>
      <c r="C541" s="73" t="str">
        <v>SpareOfferD10</v>
      </c>
      <c r="D541" t="s">
        <v>170</v>
      </c>
      <c r="F541" s="168">
        <f t="shared" si="63"/>
        <v>0</v>
      </c>
      <c r="G541" s="129"/>
      <c r="H541" s="145">
        <f t="shared" si="62"/>
        <v>0</v>
      </c>
      <c r="I541" s="145">
        <f t="shared" si="62"/>
        <v>0</v>
      </c>
      <c r="J541" s="145">
        <f t="shared" si="62"/>
        <v>0</v>
      </c>
    </row>
    <row r="542" spans="2:10" hidden="1" outlineLevel="2">
      <c r="B542">
        <f t="shared" si="61"/>
        <v>116</v>
      </c>
      <c r="C542" s="73" t="str">
        <v>SpareOfferD11</v>
      </c>
      <c r="D542" t="s">
        <v>170</v>
      </c>
      <c r="F542" s="168">
        <f t="shared" si="63"/>
        <v>0</v>
      </c>
      <c r="G542" s="129"/>
      <c r="H542" s="145">
        <f t="shared" si="62"/>
        <v>0</v>
      </c>
      <c r="I542" s="145">
        <f t="shared" si="62"/>
        <v>0</v>
      </c>
      <c r="J542" s="145">
        <f t="shared" si="62"/>
        <v>0</v>
      </c>
    </row>
    <row r="543" spans="2:10" hidden="1" outlineLevel="2">
      <c r="B543">
        <f t="shared" si="61"/>
        <v>117</v>
      </c>
      <c r="C543" s="73" t="str">
        <v>SpareOfferD12</v>
      </c>
      <c r="D543" t="s">
        <v>170</v>
      </c>
      <c r="F543" s="168">
        <f t="shared" si="63"/>
        <v>0</v>
      </c>
      <c r="G543" s="129"/>
      <c r="H543" s="145">
        <f t="shared" si="62"/>
        <v>0</v>
      </c>
      <c r="I543" s="145">
        <f t="shared" si="62"/>
        <v>0</v>
      </c>
      <c r="J543" s="145">
        <f t="shared" si="62"/>
        <v>0</v>
      </c>
    </row>
    <row r="544" spans="2:10" hidden="1" outlineLevel="2">
      <c r="B544">
        <f t="shared" si="61"/>
        <v>118</v>
      </c>
      <c r="C544" s="73" t="str">
        <v>SpareOfferD13</v>
      </c>
      <c r="D544" t="s">
        <v>170</v>
      </c>
      <c r="F544" s="168">
        <f t="shared" si="63"/>
        <v>0</v>
      </c>
      <c r="G544" s="129"/>
      <c r="H544" s="145">
        <f t="shared" si="62"/>
        <v>0</v>
      </c>
      <c r="I544" s="145">
        <f t="shared" si="62"/>
        <v>0</v>
      </c>
      <c r="J544" s="145">
        <f t="shared" si="62"/>
        <v>0</v>
      </c>
    </row>
    <row r="545" spans="2:10" hidden="1" outlineLevel="2">
      <c r="B545">
        <f t="shared" si="61"/>
        <v>119</v>
      </c>
      <c r="C545" s="73" t="str">
        <v>SpareOfferD14</v>
      </c>
      <c r="D545" t="s">
        <v>170</v>
      </c>
      <c r="F545" s="168">
        <f t="shared" si="63"/>
        <v>0</v>
      </c>
      <c r="G545" s="129"/>
      <c r="H545" s="145">
        <f t="shared" si="62"/>
        <v>0</v>
      </c>
      <c r="I545" s="145">
        <f t="shared" si="62"/>
        <v>0</v>
      </c>
      <c r="J545" s="145">
        <f t="shared" si="62"/>
        <v>0</v>
      </c>
    </row>
    <row r="546" spans="2:10" hidden="1" outlineLevel="2">
      <c r="B546">
        <f t="shared" si="61"/>
        <v>120</v>
      </c>
      <c r="C546" s="73" t="str">
        <v>SpareOfferD15</v>
      </c>
      <c r="D546" t="s">
        <v>170</v>
      </c>
      <c r="F546" s="168">
        <f t="shared" si="63"/>
        <v>0</v>
      </c>
      <c r="G546" s="129"/>
      <c r="H546" s="145">
        <f t="shared" si="62"/>
        <v>0</v>
      </c>
      <c r="I546" s="145">
        <f t="shared" si="62"/>
        <v>0</v>
      </c>
      <c r="J546" s="145">
        <f t="shared" si="62"/>
        <v>0</v>
      </c>
    </row>
    <row r="547" spans="2:10" hidden="1" outlineLevel="2">
      <c r="B547">
        <f t="shared" si="61"/>
        <v>121</v>
      </c>
      <c r="C547" s="73" t="str">
        <v>SpareOfferD16</v>
      </c>
      <c r="D547" t="s">
        <v>170</v>
      </c>
      <c r="F547" s="168">
        <f t="shared" si="63"/>
        <v>0</v>
      </c>
      <c r="G547" s="129"/>
      <c r="H547" s="145">
        <f t="shared" si="62"/>
        <v>0</v>
      </c>
      <c r="I547" s="145">
        <f t="shared" si="62"/>
        <v>0</v>
      </c>
      <c r="J547" s="145">
        <f t="shared" si="62"/>
        <v>0</v>
      </c>
    </row>
    <row r="548" spans="2:10" hidden="1" outlineLevel="2">
      <c r="B548">
        <f t="shared" si="61"/>
        <v>122</v>
      </c>
      <c r="C548" s="73" t="str">
        <v>SpareOfferD17</v>
      </c>
      <c r="D548" t="s">
        <v>170</v>
      </c>
      <c r="F548" s="168">
        <f t="shared" si="63"/>
        <v>0</v>
      </c>
      <c r="G548" s="129"/>
      <c r="H548" s="145">
        <f t="shared" si="62"/>
        <v>0</v>
      </c>
      <c r="I548" s="145">
        <f t="shared" si="62"/>
        <v>0</v>
      </c>
      <c r="J548" s="145">
        <f t="shared" si="62"/>
        <v>0</v>
      </c>
    </row>
    <row r="549" spans="2:10" hidden="1" outlineLevel="2">
      <c r="B549">
        <f t="shared" si="61"/>
        <v>123</v>
      </c>
      <c r="C549" s="73" t="str">
        <v>SpareOfferD18</v>
      </c>
      <c r="D549" t="s">
        <v>170</v>
      </c>
      <c r="F549" s="168">
        <f t="shared" si="63"/>
        <v>0</v>
      </c>
      <c r="G549" s="129"/>
      <c r="H549" s="145">
        <f t="shared" si="62"/>
        <v>0</v>
      </c>
      <c r="I549" s="145">
        <f t="shared" si="62"/>
        <v>0</v>
      </c>
      <c r="J549" s="145">
        <f t="shared" si="62"/>
        <v>0</v>
      </c>
    </row>
    <row r="550" spans="2:10" hidden="1" outlineLevel="2">
      <c r="B550">
        <f t="shared" si="61"/>
        <v>124</v>
      </c>
      <c r="C550" s="73" t="str">
        <v>SpareOfferD19</v>
      </c>
      <c r="D550" t="s">
        <v>170</v>
      </c>
      <c r="F550" s="168">
        <f t="shared" si="63"/>
        <v>0</v>
      </c>
      <c r="G550" s="129"/>
      <c r="H550" s="145">
        <f t="shared" si="62"/>
        <v>0</v>
      </c>
      <c r="I550" s="145">
        <f t="shared" si="62"/>
        <v>0</v>
      </c>
      <c r="J550" s="145">
        <f t="shared" si="62"/>
        <v>0</v>
      </c>
    </row>
    <row r="551" spans="2:10" hidden="1" outlineLevel="2">
      <c r="B551">
        <f t="shared" si="61"/>
        <v>125</v>
      </c>
      <c r="C551" s="73" t="str">
        <v>SpareOfferD20</v>
      </c>
      <c r="D551" t="s">
        <v>170</v>
      </c>
      <c r="F551" s="168">
        <f t="shared" si="63"/>
        <v>0</v>
      </c>
      <c r="G551" s="129"/>
      <c r="H551" s="145">
        <f t="shared" si="62"/>
        <v>0</v>
      </c>
      <c r="I551" s="145">
        <f t="shared" si="62"/>
        <v>0</v>
      </c>
      <c r="J551" s="145">
        <f t="shared" si="62"/>
        <v>0</v>
      </c>
    </row>
    <row r="552" spans="2:10" hidden="1" outlineLevel="2">
      <c r="B552">
        <f t="shared" si="61"/>
        <v>126</v>
      </c>
      <c r="C552" s="73" t="str">
        <v>SpareOfferD21</v>
      </c>
      <c r="D552" t="s">
        <v>170</v>
      </c>
      <c r="F552" s="168">
        <f t="shared" si="63"/>
        <v>0</v>
      </c>
      <c r="G552" s="129"/>
      <c r="H552" s="145">
        <f t="shared" ref="H552:J566" si="64">INDEX(per.sub.revenues.by.revenues.descriptions,$B552,MATCH(H$530,revenue.descriptions.short,0))</f>
        <v>0</v>
      </c>
      <c r="I552" s="145">
        <f t="shared" si="64"/>
        <v>0</v>
      </c>
      <c r="J552" s="145">
        <f t="shared" si="64"/>
        <v>0</v>
      </c>
    </row>
    <row r="553" spans="2:10" hidden="1" outlineLevel="2">
      <c r="B553">
        <f t="shared" si="61"/>
        <v>127</v>
      </c>
      <c r="C553" s="73" t="str">
        <v>SpareOfferD22</v>
      </c>
      <c r="D553" t="s">
        <v>170</v>
      </c>
      <c r="F553" s="168">
        <f t="shared" si="63"/>
        <v>0</v>
      </c>
      <c r="G553" s="129"/>
      <c r="H553" s="145">
        <f t="shared" si="64"/>
        <v>0</v>
      </c>
      <c r="I553" s="145">
        <f t="shared" si="64"/>
        <v>0</v>
      </c>
      <c r="J553" s="145">
        <f t="shared" si="64"/>
        <v>0</v>
      </c>
    </row>
    <row r="554" spans="2:10" hidden="1" outlineLevel="2">
      <c r="B554">
        <f t="shared" si="61"/>
        <v>128</v>
      </c>
      <c r="C554" s="73" t="str">
        <v>SpareOfferD23</v>
      </c>
      <c r="D554" t="s">
        <v>170</v>
      </c>
      <c r="F554" s="168">
        <f t="shared" si="63"/>
        <v>0</v>
      </c>
      <c r="G554" s="129"/>
      <c r="H554" s="145">
        <f t="shared" si="64"/>
        <v>0</v>
      </c>
      <c r="I554" s="145">
        <f t="shared" si="64"/>
        <v>0</v>
      </c>
      <c r="J554" s="145">
        <f t="shared" si="64"/>
        <v>0</v>
      </c>
    </row>
    <row r="555" spans="2:10" hidden="1" outlineLevel="2">
      <c r="B555">
        <f t="shared" si="61"/>
        <v>129</v>
      </c>
      <c r="C555" s="73" t="str">
        <v>SpareOfferD24</v>
      </c>
      <c r="D555" t="s">
        <v>170</v>
      </c>
      <c r="F555" s="168">
        <f t="shared" si="63"/>
        <v>0</v>
      </c>
      <c r="G555" s="129"/>
      <c r="H555" s="145">
        <f t="shared" si="64"/>
        <v>0</v>
      </c>
      <c r="I555" s="145">
        <f t="shared" si="64"/>
        <v>0</v>
      </c>
      <c r="J555" s="145">
        <f t="shared" si="64"/>
        <v>0</v>
      </c>
    </row>
    <row r="556" spans="2:10" hidden="1" outlineLevel="2">
      <c r="B556">
        <f t="shared" si="61"/>
        <v>130</v>
      </c>
      <c r="C556" s="73" t="str">
        <v>SpareOfferD25</v>
      </c>
      <c r="D556" t="s">
        <v>170</v>
      </c>
      <c r="F556" s="168">
        <f t="shared" si="63"/>
        <v>0</v>
      </c>
      <c r="G556" s="129"/>
      <c r="H556" s="145">
        <f t="shared" si="64"/>
        <v>0</v>
      </c>
      <c r="I556" s="145">
        <f t="shared" si="64"/>
        <v>0</v>
      </c>
      <c r="J556" s="145">
        <f t="shared" si="64"/>
        <v>0</v>
      </c>
    </row>
    <row r="557" spans="2:10" hidden="1" outlineLevel="2">
      <c r="B557">
        <f t="shared" si="61"/>
        <v>131</v>
      </c>
      <c r="C557" s="73" t="str">
        <v>SpareOfferD26</v>
      </c>
      <c r="D557" t="s">
        <v>170</v>
      </c>
      <c r="F557" s="168">
        <f t="shared" si="63"/>
        <v>0</v>
      </c>
      <c r="G557" s="129"/>
      <c r="H557" s="145">
        <f t="shared" si="64"/>
        <v>0</v>
      </c>
      <c r="I557" s="145">
        <f t="shared" si="64"/>
        <v>0</v>
      </c>
      <c r="J557" s="145">
        <f t="shared" si="64"/>
        <v>0</v>
      </c>
    </row>
    <row r="558" spans="2:10" hidden="1" outlineLevel="2">
      <c r="B558">
        <f t="shared" si="61"/>
        <v>132</v>
      </c>
      <c r="C558" s="73" t="str">
        <v>SpareOfferD27</v>
      </c>
      <c r="D558" t="s">
        <v>170</v>
      </c>
      <c r="F558" s="168">
        <f t="shared" si="63"/>
        <v>0</v>
      </c>
      <c r="G558" s="129"/>
      <c r="H558" s="145">
        <f t="shared" si="64"/>
        <v>0</v>
      </c>
      <c r="I558" s="145">
        <f t="shared" si="64"/>
        <v>0</v>
      </c>
      <c r="J558" s="145">
        <f t="shared" si="64"/>
        <v>0</v>
      </c>
    </row>
    <row r="559" spans="2:10" hidden="1" outlineLevel="2">
      <c r="B559">
        <f t="shared" si="61"/>
        <v>133</v>
      </c>
      <c r="C559" s="73" t="str">
        <v>SpareOfferD28</v>
      </c>
      <c r="D559" t="s">
        <v>170</v>
      </c>
      <c r="F559" s="168">
        <f t="shared" si="63"/>
        <v>0</v>
      </c>
      <c r="G559" s="129"/>
      <c r="H559" s="145">
        <f t="shared" si="64"/>
        <v>0</v>
      </c>
      <c r="I559" s="145">
        <f t="shared" si="64"/>
        <v>0</v>
      </c>
      <c r="J559" s="145">
        <f t="shared" si="64"/>
        <v>0</v>
      </c>
    </row>
    <row r="560" spans="2:10" hidden="1" outlineLevel="2">
      <c r="B560">
        <f t="shared" si="61"/>
        <v>134</v>
      </c>
      <c r="C560" s="73" t="str">
        <v>SpareOfferD29</v>
      </c>
      <c r="D560" t="s">
        <v>170</v>
      </c>
      <c r="F560" s="168">
        <f t="shared" si="63"/>
        <v>0</v>
      </c>
      <c r="G560" s="129"/>
      <c r="H560" s="145">
        <f t="shared" si="64"/>
        <v>0</v>
      </c>
      <c r="I560" s="145">
        <f t="shared" si="64"/>
        <v>0</v>
      </c>
      <c r="J560" s="145">
        <f t="shared" si="64"/>
        <v>0</v>
      </c>
    </row>
    <row r="561" spans="2:21" hidden="1" outlineLevel="2">
      <c r="B561">
        <f t="shared" si="61"/>
        <v>135</v>
      </c>
      <c r="C561" s="73" t="str">
        <v>SpareOfferD30</v>
      </c>
      <c r="D561" t="s">
        <v>170</v>
      </c>
      <c r="F561" s="168">
        <f t="shared" si="63"/>
        <v>0</v>
      </c>
      <c r="G561" s="129"/>
      <c r="H561" s="145">
        <f t="shared" si="64"/>
        <v>0</v>
      </c>
      <c r="I561" s="145">
        <f t="shared" si="64"/>
        <v>0</v>
      </c>
      <c r="J561" s="145">
        <f t="shared" si="64"/>
        <v>0</v>
      </c>
    </row>
    <row r="562" spans="2:21" hidden="1" outlineLevel="2">
      <c r="B562">
        <f t="shared" si="61"/>
        <v>136</v>
      </c>
      <c r="C562" s="73" t="str">
        <v>SpareOfferD31</v>
      </c>
      <c r="D562" t="s">
        <v>170</v>
      </c>
      <c r="F562" s="168">
        <f t="shared" si="63"/>
        <v>0</v>
      </c>
      <c r="G562" s="129"/>
      <c r="H562" s="145">
        <f t="shared" si="64"/>
        <v>0</v>
      </c>
      <c r="I562" s="145">
        <f t="shared" si="64"/>
        <v>0</v>
      </c>
      <c r="J562" s="145">
        <f t="shared" si="64"/>
        <v>0</v>
      </c>
    </row>
    <row r="563" spans="2:21" hidden="1" outlineLevel="2">
      <c r="B563">
        <f t="shared" si="61"/>
        <v>137</v>
      </c>
      <c r="C563" s="73" t="str">
        <v>SpareOfferD32</v>
      </c>
      <c r="D563" t="s">
        <v>170</v>
      </c>
      <c r="F563" s="168">
        <f t="shared" si="63"/>
        <v>0</v>
      </c>
      <c r="G563" s="129"/>
      <c r="H563" s="145">
        <f t="shared" si="64"/>
        <v>0</v>
      </c>
      <c r="I563" s="145">
        <f t="shared" si="64"/>
        <v>0</v>
      </c>
      <c r="J563" s="145">
        <f t="shared" si="64"/>
        <v>0</v>
      </c>
    </row>
    <row r="564" spans="2:21" hidden="1" outlineLevel="2">
      <c r="B564">
        <f t="shared" si="61"/>
        <v>138</v>
      </c>
      <c r="C564" s="73" t="str">
        <v>SpareOfferD33</v>
      </c>
      <c r="D564" t="s">
        <v>170</v>
      </c>
      <c r="F564" s="168">
        <f t="shared" si="63"/>
        <v>0</v>
      </c>
      <c r="G564" s="129"/>
      <c r="H564" s="145">
        <f t="shared" si="64"/>
        <v>0</v>
      </c>
      <c r="I564" s="145">
        <f t="shared" si="64"/>
        <v>0</v>
      </c>
      <c r="J564" s="145">
        <f t="shared" si="64"/>
        <v>0</v>
      </c>
    </row>
    <row r="565" spans="2:21" hidden="1" outlineLevel="2">
      <c r="B565">
        <f t="shared" si="61"/>
        <v>139</v>
      </c>
      <c r="C565" s="73" t="str">
        <v>SpareOfferD34</v>
      </c>
      <c r="D565" t="s">
        <v>170</v>
      </c>
      <c r="F565" s="168">
        <f t="shared" si="63"/>
        <v>0</v>
      </c>
      <c r="G565" s="129"/>
      <c r="H565" s="145">
        <f t="shared" si="64"/>
        <v>0</v>
      </c>
      <c r="I565" s="145">
        <f t="shared" si="64"/>
        <v>0</v>
      </c>
      <c r="J565" s="145">
        <f t="shared" si="64"/>
        <v>0</v>
      </c>
    </row>
    <row r="566" spans="2:21" outlineLevel="1" collapsed="1">
      <c r="B566">
        <f t="shared" si="61"/>
        <v>140</v>
      </c>
      <c r="C566" s="73" t="str">
        <v>-</v>
      </c>
      <c r="D566" t="s">
        <v>170</v>
      </c>
      <c r="F566" s="168">
        <f t="shared" si="63"/>
        <v>0</v>
      </c>
      <c r="G566" s="129"/>
      <c r="H566" s="145">
        <f t="shared" si="64"/>
        <v>0</v>
      </c>
      <c r="I566" s="145">
        <f t="shared" si="64"/>
        <v>0</v>
      </c>
      <c r="J566" s="145">
        <f t="shared" si="64"/>
        <v>0</v>
      </c>
    </row>
    <row r="567" spans="2:21" outlineLevel="1"/>
    <row r="568" spans="2:21" outlineLevel="1">
      <c r="B568" s="91" t="s">
        <v>215</v>
      </c>
      <c r="F568" s="109"/>
      <c r="H568" s="66" t="s">
        <v>368</v>
      </c>
      <c r="I568" s="66"/>
      <c r="J568" s="66"/>
      <c r="K568" s="66"/>
      <c r="L568" s="66"/>
      <c r="M568" s="66"/>
      <c r="O568" s="66" t="s">
        <v>161</v>
      </c>
      <c r="P568" s="66"/>
      <c r="Q568" s="66"/>
      <c r="S568" s="165" t="s">
        <v>192</v>
      </c>
      <c r="T568" s="165"/>
      <c r="U568" s="165"/>
    </row>
    <row r="569" spans="2:21" ht="23" outlineLevel="1">
      <c r="F569" s="1" t="s">
        <v>171</v>
      </c>
      <c r="H569" s="95" t="str">
        <f t="array" ref="H569:M569">options.selected.basic</f>
        <v>National voice</v>
      </c>
      <c r="I569" s="95" t="str">
        <v>International voice</v>
      </c>
      <c r="J569" s="95" t="str">
        <v>National SMS</v>
      </c>
      <c r="K569" s="95" t="str">
        <v>International SMS</v>
      </c>
      <c r="L569" s="95" t="str">
        <v>National data</v>
      </c>
      <c r="M569" s="95" t="str">
        <v>Spare 1</v>
      </c>
      <c r="O569" s="95" t="str">
        <f t="array" ref="O569:Q569">options.selected.VAS</f>
        <v>VAS minutes</v>
      </c>
      <c r="P569" s="95" t="str">
        <v>VAS BankID</v>
      </c>
      <c r="Q569" s="95" t="str">
        <v>Other VAS messages</v>
      </c>
      <c r="S569" s="95" t="str">
        <f t="array" ref="S569:U569">options.selected.roaming</f>
        <v>Roaming voice</v>
      </c>
      <c r="T569" s="95" t="str">
        <v>Roaming messages</v>
      </c>
      <c r="U569" s="95" t="str">
        <v>Roaming data</v>
      </c>
    </row>
    <row r="570" spans="2:21" outlineLevel="1">
      <c r="C570" s="1" t="s">
        <v>309</v>
      </c>
      <c r="D570" t="s">
        <v>170</v>
      </c>
      <c r="F570" s="146">
        <f>SUMPRODUCT(subscription.split.segment.4,F571:F605)</f>
        <v>0</v>
      </c>
      <c r="H570" s="146">
        <f t="shared" ref="H570:M570" si="65">SUMPRODUCT(subscription.split.segment.4,H571:H605)</f>
        <v>0</v>
      </c>
      <c r="I570" s="146">
        <f t="shared" si="65"/>
        <v>0</v>
      </c>
      <c r="J570" s="146">
        <f t="shared" si="65"/>
        <v>0</v>
      </c>
      <c r="K570" s="146">
        <f t="shared" si="65"/>
        <v>0</v>
      </c>
      <c r="L570" s="146">
        <f t="shared" si="65"/>
        <v>0</v>
      </c>
      <c r="M570" s="146">
        <f t="shared" si="65"/>
        <v>0</v>
      </c>
      <c r="O570" s="146">
        <f>SUMPRODUCT(subscription.split.segment.4,O571:O605)</f>
        <v>0</v>
      </c>
      <c r="P570" s="146">
        <f>SUMPRODUCT(subscription.split.segment.4,P571:P605)</f>
        <v>0</v>
      </c>
      <c r="Q570" s="146">
        <f>SUMPRODUCT(subscription.split.segment.4,Q571:Q605)</f>
        <v>0</v>
      </c>
      <c r="S570" s="146">
        <f>SUMPRODUCT(subscription.split.segment.4,S571:S605)</f>
        <v>0</v>
      </c>
      <c r="T570" s="146">
        <f>SUMPRODUCT(subscription.split.segment.4,T571:T605)</f>
        <v>0</v>
      </c>
      <c r="U570" s="146">
        <f>SUMPRODUCT(subscription.split.segment.4,U571:U605)</f>
        <v>0</v>
      </c>
    </row>
    <row r="571" spans="2:21" outlineLevel="1">
      <c r="B571">
        <f t="shared" ref="B571:B605" si="66">MATCH(C571,offers.segment.all,0)</f>
        <v>106</v>
      </c>
      <c r="C571" s="73" t="str">
        <f t="array" ref="C571:C605">offers.segment.4</f>
        <v>SpareOfferD1</v>
      </c>
      <c r="D571" t="s">
        <v>170</v>
      </c>
      <c r="F571" s="106">
        <f>SUM(H571:M571)+SUM(O571:Q571)+SUM(S571:U571)</f>
        <v>0</v>
      </c>
      <c r="H571" s="145">
        <f t="shared" ref="H571:M580" si="67">INDEX(per.sub.revenues.by.revenues.descriptions,$B571,MATCH(H$569,revenue.descriptions.short,0))</f>
        <v>0</v>
      </c>
      <c r="I571" s="145">
        <f t="shared" si="67"/>
        <v>0</v>
      </c>
      <c r="J571" s="145">
        <f t="shared" si="67"/>
        <v>0</v>
      </c>
      <c r="K571" s="145">
        <f t="shared" si="67"/>
        <v>0</v>
      </c>
      <c r="L571" s="145">
        <f t="shared" si="67"/>
        <v>0</v>
      </c>
      <c r="M571" s="145">
        <f t="shared" si="67"/>
        <v>0</v>
      </c>
      <c r="O571" s="145">
        <f t="shared" ref="O571:Q590" si="68">INDEX(per.sub.revenues.by.revenues.descriptions,$B571,MATCH(O$569,revenue.descriptions.short,0))</f>
        <v>0</v>
      </c>
      <c r="P571" s="145">
        <f t="shared" si="68"/>
        <v>0</v>
      </c>
      <c r="Q571" s="145">
        <f t="shared" si="68"/>
        <v>0</v>
      </c>
      <c r="S571" s="145">
        <f t="shared" ref="S571:U590" si="69">INDEX(per.sub.revenues.by.revenues.descriptions,$B571,MATCH(S$569,revenue.descriptions.short,0))</f>
        <v>0</v>
      </c>
      <c r="T571" s="145">
        <f t="shared" si="69"/>
        <v>0</v>
      </c>
      <c r="U571" s="145">
        <f t="shared" si="69"/>
        <v>0</v>
      </c>
    </row>
    <row r="572" spans="2:21" ht="12" hidden="1" customHeight="1" outlineLevel="2">
      <c r="B572">
        <f t="shared" si="66"/>
        <v>107</v>
      </c>
      <c r="C572" s="73" t="str">
        <v>SpareOfferD2</v>
      </c>
      <c r="D572" t="s">
        <v>170</v>
      </c>
      <c r="F572" s="106">
        <f t="shared" ref="F572:F605" si="70">SUM(H572:M572)+SUM(O572:Q572)+SUM(S572:U572)</f>
        <v>0</v>
      </c>
      <c r="H572" s="145">
        <f t="shared" si="67"/>
        <v>0</v>
      </c>
      <c r="I572" s="145">
        <f t="shared" si="67"/>
        <v>0</v>
      </c>
      <c r="J572" s="145">
        <f t="shared" si="67"/>
        <v>0</v>
      </c>
      <c r="K572" s="145">
        <f t="shared" si="67"/>
        <v>0</v>
      </c>
      <c r="L572" s="145">
        <f t="shared" si="67"/>
        <v>0</v>
      </c>
      <c r="M572" s="145">
        <f t="shared" si="67"/>
        <v>0</v>
      </c>
      <c r="O572" s="145">
        <f t="shared" si="68"/>
        <v>0</v>
      </c>
      <c r="P572" s="145">
        <f t="shared" si="68"/>
        <v>0</v>
      </c>
      <c r="Q572" s="145">
        <f t="shared" si="68"/>
        <v>0</v>
      </c>
      <c r="S572" s="145">
        <f t="shared" si="69"/>
        <v>0</v>
      </c>
      <c r="T572" s="145">
        <f t="shared" si="69"/>
        <v>0</v>
      </c>
      <c r="U572" s="145">
        <f t="shared" si="69"/>
        <v>0</v>
      </c>
    </row>
    <row r="573" spans="2:21" ht="12" hidden="1" customHeight="1" outlineLevel="2">
      <c r="B573">
        <f t="shared" si="66"/>
        <v>108</v>
      </c>
      <c r="C573" s="73" t="str">
        <v>SpareOfferD3</v>
      </c>
      <c r="D573" t="s">
        <v>170</v>
      </c>
      <c r="F573" s="106">
        <f t="shared" si="70"/>
        <v>0</v>
      </c>
      <c r="H573" s="145">
        <f t="shared" si="67"/>
        <v>0</v>
      </c>
      <c r="I573" s="145">
        <f t="shared" si="67"/>
        <v>0</v>
      </c>
      <c r="J573" s="145">
        <f t="shared" si="67"/>
        <v>0</v>
      </c>
      <c r="K573" s="145">
        <f t="shared" si="67"/>
        <v>0</v>
      </c>
      <c r="L573" s="145">
        <f t="shared" si="67"/>
        <v>0</v>
      </c>
      <c r="M573" s="145">
        <f t="shared" si="67"/>
        <v>0</v>
      </c>
      <c r="O573" s="145">
        <f t="shared" si="68"/>
        <v>0</v>
      </c>
      <c r="P573" s="145">
        <f t="shared" si="68"/>
        <v>0</v>
      </c>
      <c r="Q573" s="145">
        <f t="shared" si="68"/>
        <v>0</v>
      </c>
      <c r="S573" s="145">
        <f t="shared" si="69"/>
        <v>0</v>
      </c>
      <c r="T573" s="145">
        <f t="shared" si="69"/>
        <v>0</v>
      </c>
      <c r="U573" s="145">
        <f t="shared" si="69"/>
        <v>0</v>
      </c>
    </row>
    <row r="574" spans="2:21" ht="12" hidden="1" customHeight="1" outlineLevel="2">
      <c r="B574">
        <f t="shared" si="66"/>
        <v>109</v>
      </c>
      <c r="C574" s="73" t="str">
        <v>SpareOfferD4</v>
      </c>
      <c r="D574" t="s">
        <v>170</v>
      </c>
      <c r="F574" s="106">
        <f t="shared" si="70"/>
        <v>0</v>
      </c>
      <c r="H574" s="145">
        <f t="shared" si="67"/>
        <v>0</v>
      </c>
      <c r="I574" s="145">
        <f t="shared" si="67"/>
        <v>0</v>
      </c>
      <c r="J574" s="145">
        <f t="shared" si="67"/>
        <v>0</v>
      </c>
      <c r="K574" s="145">
        <f t="shared" si="67"/>
        <v>0</v>
      </c>
      <c r="L574" s="145">
        <f t="shared" si="67"/>
        <v>0</v>
      </c>
      <c r="M574" s="145">
        <f t="shared" si="67"/>
        <v>0</v>
      </c>
      <c r="O574" s="145">
        <f t="shared" si="68"/>
        <v>0</v>
      </c>
      <c r="P574" s="145">
        <f t="shared" si="68"/>
        <v>0</v>
      </c>
      <c r="Q574" s="145">
        <f t="shared" si="68"/>
        <v>0</v>
      </c>
      <c r="S574" s="145">
        <f t="shared" si="69"/>
        <v>0</v>
      </c>
      <c r="T574" s="145">
        <f t="shared" si="69"/>
        <v>0</v>
      </c>
      <c r="U574" s="145">
        <f t="shared" si="69"/>
        <v>0</v>
      </c>
    </row>
    <row r="575" spans="2:21" ht="12" hidden="1" customHeight="1" outlineLevel="2">
      <c r="B575">
        <f t="shared" si="66"/>
        <v>110</v>
      </c>
      <c r="C575" s="73" t="str">
        <v>SpareOfferD5</v>
      </c>
      <c r="D575" t="s">
        <v>170</v>
      </c>
      <c r="F575" s="106">
        <f t="shared" si="70"/>
        <v>0</v>
      </c>
      <c r="H575" s="145">
        <f t="shared" si="67"/>
        <v>0</v>
      </c>
      <c r="I575" s="145">
        <f t="shared" si="67"/>
        <v>0</v>
      </c>
      <c r="J575" s="145">
        <f t="shared" si="67"/>
        <v>0</v>
      </c>
      <c r="K575" s="145">
        <f t="shared" si="67"/>
        <v>0</v>
      </c>
      <c r="L575" s="145">
        <f t="shared" si="67"/>
        <v>0</v>
      </c>
      <c r="M575" s="145">
        <f t="shared" si="67"/>
        <v>0</v>
      </c>
      <c r="O575" s="145">
        <f t="shared" si="68"/>
        <v>0</v>
      </c>
      <c r="P575" s="145">
        <f t="shared" si="68"/>
        <v>0</v>
      </c>
      <c r="Q575" s="145">
        <f t="shared" si="68"/>
        <v>0</v>
      </c>
      <c r="S575" s="145">
        <f t="shared" si="69"/>
        <v>0</v>
      </c>
      <c r="T575" s="145">
        <f t="shared" si="69"/>
        <v>0</v>
      </c>
      <c r="U575" s="145">
        <f t="shared" si="69"/>
        <v>0</v>
      </c>
    </row>
    <row r="576" spans="2:21" ht="12" hidden="1" customHeight="1" outlineLevel="2">
      <c r="B576">
        <f t="shared" si="66"/>
        <v>111</v>
      </c>
      <c r="C576" s="73" t="str">
        <v>SpareOfferD6</v>
      </c>
      <c r="D576" t="s">
        <v>170</v>
      </c>
      <c r="F576" s="106">
        <f t="shared" si="70"/>
        <v>0</v>
      </c>
      <c r="H576" s="145">
        <f t="shared" si="67"/>
        <v>0</v>
      </c>
      <c r="I576" s="145">
        <f t="shared" si="67"/>
        <v>0</v>
      </c>
      <c r="J576" s="145">
        <f t="shared" si="67"/>
        <v>0</v>
      </c>
      <c r="K576" s="145">
        <f t="shared" si="67"/>
        <v>0</v>
      </c>
      <c r="L576" s="145">
        <f t="shared" si="67"/>
        <v>0</v>
      </c>
      <c r="M576" s="145">
        <f t="shared" si="67"/>
        <v>0</v>
      </c>
      <c r="O576" s="145">
        <f t="shared" si="68"/>
        <v>0</v>
      </c>
      <c r="P576" s="145">
        <f t="shared" si="68"/>
        <v>0</v>
      </c>
      <c r="Q576" s="145">
        <f t="shared" si="68"/>
        <v>0</v>
      </c>
      <c r="S576" s="145">
        <f t="shared" si="69"/>
        <v>0</v>
      </c>
      <c r="T576" s="145">
        <f t="shared" si="69"/>
        <v>0</v>
      </c>
      <c r="U576" s="145">
        <f t="shared" si="69"/>
        <v>0</v>
      </c>
    </row>
    <row r="577" spans="2:21" ht="12" hidden="1" customHeight="1" outlineLevel="2">
      <c r="B577">
        <f t="shared" si="66"/>
        <v>112</v>
      </c>
      <c r="C577" s="73" t="str">
        <v>SpareOfferD7</v>
      </c>
      <c r="D577" t="s">
        <v>170</v>
      </c>
      <c r="F577" s="106">
        <f t="shared" si="70"/>
        <v>0</v>
      </c>
      <c r="H577" s="145">
        <f t="shared" si="67"/>
        <v>0</v>
      </c>
      <c r="I577" s="145">
        <f t="shared" si="67"/>
        <v>0</v>
      </c>
      <c r="J577" s="145">
        <f t="shared" si="67"/>
        <v>0</v>
      </c>
      <c r="K577" s="145">
        <f t="shared" si="67"/>
        <v>0</v>
      </c>
      <c r="L577" s="145">
        <f t="shared" si="67"/>
        <v>0</v>
      </c>
      <c r="M577" s="145">
        <f t="shared" si="67"/>
        <v>0</v>
      </c>
      <c r="O577" s="145">
        <f t="shared" si="68"/>
        <v>0</v>
      </c>
      <c r="P577" s="145">
        <f t="shared" si="68"/>
        <v>0</v>
      </c>
      <c r="Q577" s="145">
        <f t="shared" si="68"/>
        <v>0</v>
      </c>
      <c r="S577" s="145">
        <f t="shared" si="69"/>
        <v>0</v>
      </c>
      <c r="T577" s="145">
        <f t="shared" si="69"/>
        <v>0</v>
      </c>
      <c r="U577" s="145">
        <f t="shared" si="69"/>
        <v>0</v>
      </c>
    </row>
    <row r="578" spans="2:21" ht="12" hidden="1" customHeight="1" outlineLevel="2">
      <c r="B578">
        <f t="shared" si="66"/>
        <v>113</v>
      </c>
      <c r="C578" s="73" t="str">
        <v>SpareOfferD8</v>
      </c>
      <c r="D578" t="s">
        <v>170</v>
      </c>
      <c r="F578" s="106">
        <f t="shared" si="70"/>
        <v>0</v>
      </c>
      <c r="H578" s="145">
        <f t="shared" si="67"/>
        <v>0</v>
      </c>
      <c r="I578" s="145">
        <f t="shared" si="67"/>
        <v>0</v>
      </c>
      <c r="J578" s="145">
        <f t="shared" si="67"/>
        <v>0</v>
      </c>
      <c r="K578" s="145">
        <f t="shared" si="67"/>
        <v>0</v>
      </c>
      <c r="L578" s="145">
        <f t="shared" si="67"/>
        <v>0</v>
      </c>
      <c r="M578" s="145">
        <f t="shared" si="67"/>
        <v>0</v>
      </c>
      <c r="O578" s="145">
        <f t="shared" si="68"/>
        <v>0</v>
      </c>
      <c r="P578" s="145">
        <f t="shared" si="68"/>
        <v>0</v>
      </c>
      <c r="Q578" s="145">
        <f t="shared" si="68"/>
        <v>0</v>
      </c>
      <c r="S578" s="145">
        <f t="shared" si="69"/>
        <v>0</v>
      </c>
      <c r="T578" s="145">
        <f t="shared" si="69"/>
        <v>0</v>
      </c>
      <c r="U578" s="145">
        <f t="shared" si="69"/>
        <v>0</v>
      </c>
    </row>
    <row r="579" spans="2:21" ht="12" hidden="1" customHeight="1" outlineLevel="2">
      <c r="B579">
        <f t="shared" si="66"/>
        <v>114</v>
      </c>
      <c r="C579" s="73" t="str">
        <v>SpareOfferD9</v>
      </c>
      <c r="D579" t="s">
        <v>170</v>
      </c>
      <c r="F579" s="106">
        <f t="shared" si="70"/>
        <v>0</v>
      </c>
      <c r="H579" s="145">
        <f t="shared" si="67"/>
        <v>0</v>
      </c>
      <c r="I579" s="145">
        <f t="shared" si="67"/>
        <v>0</v>
      </c>
      <c r="J579" s="145">
        <f t="shared" si="67"/>
        <v>0</v>
      </c>
      <c r="K579" s="145">
        <f t="shared" si="67"/>
        <v>0</v>
      </c>
      <c r="L579" s="145">
        <f t="shared" si="67"/>
        <v>0</v>
      </c>
      <c r="M579" s="145">
        <f t="shared" si="67"/>
        <v>0</v>
      </c>
      <c r="O579" s="145">
        <f t="shared" si="68"/>
        <v>0</v>
      </c>
      <c r="P579" s="145">
        <f t="shared" si="68"/>
        <v>0</v>
      </c>
      <c r="Q579" s="145">
        <f t="shared" si="68"/>
        <v>0</v>
      </c>
      <c r="S579" s="145">
        <f t="shared" si="69"/>
        <v>0</v>
      </c>
      <c r="T579" s="145">
        <f t="shared" si="69"/>
        <v>0</v>
      </c>
      <c r="U579" s="145">
        <f t="shared" si="69"/>
        <v>0</v>
      </c>
    </row>
    <row r="580" spans="2:21" ht="12" hidden="1" customHeight="1" outlineLevel="2">
      <c r="B580">
        <f t="shared" si="66"/>
        <v>115</v>
      </c>
      <c r="C580" s="73" t="str">
        <v>SpareOfferD10</v>
      </c>
      <c r="D580" t="s">
        <v>170</v>
      </c>
      <c r="F580" s="106">
        <f t="shared" si="70"/>
        <v>0</v>
      </c>
      <c r="H580" s="145">
        <f t="shared" si="67"/>
        <v>0</v>
      </c>
      <c r="I580" s="145">
        <f t="shared" si="67"/>
        <v>0</v>
      </c>
      <c r="J580" s="145">
        <f t="shared" si="67"/>
        <v>0</v>
      </c>
      <c r="K580" s="145">
        <f t="shared" si="67"/>
        <v>0</v>
      </c>
      <c r="L580" s="145">
        <f t="shared" si="67"/>
        <v>0</v>
      </c>
      <c r="M580" s="145">
        <f t="shared" si="67"/>
        <v>0</v>
      </c>
      <c r="O580" s="145">
        <f t="shared" si="68"/>
        <v>0</v>
      </c>
      <c r="P580" s="145">
        <f t="shared" si="68"/>
        <v>0</v>
      </c>
      <c r="Q580" s="145">
        <f t="shared" si="68"/>
        <v>0</v>
      </c>
      <c r="S580" s="145">
        <f t="shared" si="69"/>
        <v>0</v>
      </c>
      <c r="T580" s="145">
        <f t="shared" si="69"/>
        <v>0</v>
      </c>
      <c r="U580" s="145">
        <f t="shared" si="69"/>
        <v>0</v>
      </c>
    </row>
    <row r="581" spans="2:21" ht="12" hidden="1" customHeight="1" outlineLevel="2">
      <c r="B581">
        <f t="shared" si="66"/>
        <v>116</v>
      </c>
      <c r="C581" s="73" t="str">
        <v>SpareOfferD11</v>
      </c>
      <c r="D581" t="s">
        <v>170</v>
      </c>
      <c r="F581" s="106">
        <f t="shared" si="70"/>
        <v>0</v>
      </c>
      <c r="H581" s="145">
        <f t="shared" ref="H581:M590" si="71">INDEX(per.sub.revenues.by.revenues.descriptions,$B581,MATCH(H$569,revenue.descriptions.short,0))</f>
        <v>0</v>
      </c>
      <c r="I581" s="145">
        <f t="shared" si="71"/>
        <v>0</v>
      </c>
      <c r="J581" s="145">
        <f t="shared" si="71"/>
        <v>0</v>
      </c>
      <c r="K581" s="145">
        <f t="shared" si="71"/>
        <v>0</v>
      </c>
      <c r="L581" s="145">
        <f t="shared" si="71"/>
        <v>0</v>
      </c>
      <c r="M581" s="145">
        <f t="shared" si="71"/>
        <v>0</v>
      </c>
      <c r="O581" s="145">
        <f t="shared" si="68"/>
        <v>0</v>
      </c>
      <c r="P581" s="145">
        <f t="shared" si="68"/>
        <v>0</v>
      </c>
      <c r="Q581" s="145">
        <f t="shared" si="68"/>
        <v>0</v>
      </c>
      <c r="S581" s="145">
        <f t="shared" si="69"/>
        <v>0</v>
      </c>
      <c r="T581" s="145">
        <f t="shared" si="69"/>
        <v>0</v>
      </c>
      <c r="U581" s="145">
        <f t="shared" si="69"/>
        <v>0</v>
      </c>
    </row>
    <row r="582" spans="2:21" ht="12" hidden="1" customHeight="1" outlineLevel="2">
      <c r="B582">
        <f t="shared" si="66"/>
        <v>117</v>
      </c>
      <c r="C582" s="73" t="str">
        <v>SpareOfferD12</v>
      </c>
      <c r="D582" t="s">
        <v>170</v>
      </c>
      <c r="F582" s="106">
        <f t="shared" si="70"/>
        <v>0</v>
      </c>
      <c r="H582" s="145">
        <f t="shared" si="71"/>
        <v>0</v>
      </c>
      <c r="I582" s="145">
        <f t="shared" si="71"/>
        <v>0</v>
      </c>
      <c r="J582" s="145">
        <f t="shared" si="71"/>
        <v>0</v>
      </c>
      <c r="K582" s="145">
        <f t="shared" si="71"/>
        <v>0</v>
      </c>
      <c r="L582" s="145">
        <f t="shared" si="71"/>
        <v>0</v>
      </c>
      <c r="M582" s="145">
        <f t="shared" si="71"/>
        <v>0</v>
      </c>
      <c r="O582" s="145">
        <f t="shared" si="68"/>
        <v>0</v>
      </c>
      <c r="P582" s="145">
        <f t="shared" si="68"/>
        <v>0</v>
      </c>
      <c r="Q582" s="145">
        <f t="shared" si="68"/>
        <v>0</v>
      </c>
      <c r="S582" s="145">
        <f t="shared" si="69"/>
        <v>0</v>
      </c>
      <c r="T582" s="145">
        <f t="shared" si="69"/>
        <v>0</v>
      </c>
      <c r="U582" s="145">
        <f t="shared" si="69"/>
        <v>0</v>
      </c>
    </row>
    <row r="583" spans="2:21" ht="12" hidden="1" customHeight="1" outlineLevel="2">
      <c r="B583">
        <f t="shared" si="66"/>
        <v>118</v>
      </c>
      <c r="C583" s="73" t="str">
        <v>SpareOfferD13</v>
      </c>
      <c r="D583" t="s">
        <v>170</v>
      </c>
      <c r="F583" s="106">
        <f t="shared" si="70"/>
        <v>0</v>
      </c>
      <c r="H583" s="145">
        <f t="shared" si="71"/>
        <v>0</v>
      </c>
      <c r="I583" s="145">
        <f t="shared" si="71"/>
        <v>0</v>
      </c>
      <c r="J583" s="145">
        <f t="shared" si="71"/>
        <v>0</v>
      </c>
      <c r="K583" s="145">
        <f t="shared" si="71"/>
        <v>0</v>
      </c>
      <c r="L583" s="145">
        <f t="shared" si="71"/>
        <v>0</v>
      </c>
      <c r="M583" s="145">
        <f t="shared" si="71"/>
        <v>0</v>
      </c>
      <c r="O583" s="145">
        <f t="shared" si="68"/>
        <v>0</v>
      </c>
      <c r="P583" s="145">
        <f t="shared" si="68"/>
        <v>0</v>
      </c>
      <c r="Q583" s="145">
        <f t="shared" si="68"/>
        <v>0</v>
      </c>
      <c r="S583" s="145">
        <f t="shared" si="69"/>
        <v>0</v>
      </c>
      <c r="T583" s="145">
        <f t="shared" si="69"/>
        <v>0</v>
      </c>
      <c r="U583" s="145">
        <f t="shared" si="69"/>
        <v>0</v>
      </c>
    </row>
    <row r="584" spans="2:21" ht="12" hidden="1" customHeight="1" outlineLevel="2">
      <c r="B584">
        <f t="shared" si="66"/>
        <v>119</v>
      </c>
      <c r="C584" s="73" t="str">
        <v>SpareOfferD14</v>
      </c>
      <c r="D584" t="s">
        <v>170</v>
      </c>
      <c r="F584" s="106">
        <f t="shared" si="70"/>
        <v>0</v>
      </c>
      <c r="H584" s="145">
        <f t="shared" si="71"/>
        <v>0</v>
      </c>
      <c r="I584" s="145">
        <f t="shared" si="71"/>
        <v>0</v>
      </c>
      <c r="J584" s="145">
        <f t="shared" si="71"/>
        <v>0</v>
      </c>
      <c r="K584" s="145">
        <f t="shared" si="71"/>
        <v>0</v>
      </c>
      <c r="L584" s="145">
        <f t="shared" si="71"/>
        <v>0</v>
      </c>
      <c r="M584" s="145">
        <f t="shared" si="71"/>
        <v>0</v>
      </c>
      <c r="O584" s="145">
        <f t="shared" si="68"/>
        <v>0</v>
      </c>
      <c r="P584" s="145">
        <f t="shared" si="68"/>
        <v>0</v>
      </c>
      <c r="Q584" s="145">
        <f t="shared" si="68"/>
        <v>0</v>
      </c>
      <c r="S584" s="145">
        <f t="shared" si="69"/>
        <v>0</v>
      </c>
      <c r="T584" s="145">
        <f t="shared" si="69"/>
        <v>0</v>
      </c>
      <c r="U584" s="145">
        <f t="shared" si="69"/>
        <v>0</v>
      </c>
    </row>
    <row r="585" spans="2:21" ht="12" hidden="1" customHeight="1" outlineLevel="2">
      <c r="B585">
        <f t="shared" si="66"/>
        <v>120</v>
      </c>
      <c r="C585" s="73" t="str">
        <v>SpareOfferD15</v>
      </c>
      <c r="D585" t="s">
        <v>170</v>
      </c>
      <c r="F585" s="106">
        <f t="shared" si="70"/>
        <v>0</v>
      </c>
      <c r="H585" s="145">
        <f t="shared" si="71"/>
        <v>0</v>
      </c>
      <c r="I585" s="145">
        <f t="shared" si="71"/>
        <v>0</v>
      </c>
      <c r="J585" s="145">
        <f t="shared" si="71"/>
        <v>0</v>
      </c>
      <c r="K585" s="145">
        <f t="shared" si="71"/>
        <v>0</v>
      </c>
      <c r="L585" s="145">
        <f t="shared" si="71"/>
        <v>0</v>
      </c>
      <c r="M585" s="145">
        <f t="shared" si="71"/>
        <v>0</v>
      </c>
      <c r="O585" s="145">
        <f t="shared" si="68"/>
        <v>0</v>
      </c>
      <c r="P585" s="145">
        <f t="shared" si="68"/>
        <v>0</v>
      </c>
      <c r="Q585" s="145">
        <f t="shared" si="68"/>
        <v>0</v>
      </c>
      <c r="S585" s="145">
        <f t="shared" si="69"/>
        <v>0</v>
      </c>
      <c r="T585" s="145">
        <f t="shared" si="69"/>
        <v>0</v>
      </c>
      <c r="U585" s="145">
        <f t="shared" si="69"/>
        <v>0</v>
      </c>
    </row>
    <row r="586" spans="2:21" ht="12" hidden="1" customHeight="1" outlineLevel="2">
      <c r="B586">
        <f t="shared" si="66"/>
        <v>121</v>
      </c>
      <c r="C586" s="73" t="str">
        <v>SpareOfferD16</v>
      </c>
      <c r="D586" t="s">
        <v>170</v>
      </c>
      <c r="F586" s="106">
        <f t="shared" si="70"/>
        <v>0</v>
      </c>
      <c r="H586" s="145">
        <f t="shared" si="71"/>
        <v>0</v>
      </c>
      <c r="I586" s="145">
        <f t="shared" si="71"/>
        <v>0</v>
      </c>
      <c r="J586" s="145">
        <f t="shared" si="71"/>
        <v>0</v>
      </c>
      <c r="K586" s="145">
        <f t="shared" si="71"/>
        <v>0</v>
      </c>
      <c r="L586" s="145">
        <f t="shared" si="71"/>
        <v>0</v>
      </c>
      <c r="M586" s="145">
        <f t="shared" si="71"/>
        <v>0</v>
      </c>
      <c r="O586" s="145">
        <f t="shared" si="68"/>
        <v>0</v>
      </c>
      <c r="P586" s="145">
        <f t="shared" si="68"/>
        <v>0</v>
      </c>
      <c r="Q586" s="145">
        <f t="shared" si="68"/>
        <v>0</v>
      </c>
      <c r="S586" s="145">
        <f t="shared" si="69"/>
        <v>0</v>
      </c>
      <c r="T586" s="145">
        <f t="shared" si="69"/>
        <v>0</v>
      </c>
      <c r="U586" s="145">
        <f t="shared" si="69"/>
        <v>0</v>
      </c>
    </row>
    <row r="587" spans="2:21" ht="12" hidden="1" customHeight="1" outlineLevel="2">
      <c r="B587">
        <f t="shared" si="66"/>
        <v>122</v>
      </c>
      <c r="C587" s="73" t="str">
        <v>SpareOfferD17</v>
      </c>
      <c r="D587" t="s">
        <v>170</v>
      </c>
      <c r="F587" s="106">
        <f t="shared" si="70"/>
        <v>0</v>
      </c>
      <c r="H587" s="145">
        <f t="shared" si="71"/>
        <v>0</v>
      </c>
      <c r="I587" s="145">
        <f t="shared" si="71"/>
        <v>0</v>
      </c>
      <c r="J587" s="145">
        <f t="shared" si="71"/>
        <v>0</v>
      </c>
      <c r="K587" s="145">
        <f t="shared" si="71"/>
        <v>0</v>
      </c>
      <c r="L587" s="145">
        <f t="shared" si="71"/>
        <v>0</v>
      </c>
      <c r="M587" s="145">
        <f t="shared" si="71"/>
        <v>0</v>
      </c>
      <c r="O587" s="145">
        <f t="shared" si="68"/>
        <v>0</v>
      </c>
      <c r="P587" s="145">
        <f t="shared" si="68"/>
        <v>0</v>
      </c>
      <c r="Q587" s="145">
        <f t="shared" si="68"/>
        <v>0</v>
      </c>
      <c r="S587" s="145">
        <f t="shared" si="69"/>
        <v>0</v>
      </c>
      <c r="T587" s="145">
        <f t="shared" si="69"/>
        <v>0</v>
      </c>
      <c r="U587" s="145">
        <f t="shared" si="69"/>
        <v>0</v>
      </c>
    </row>
    <row r="588" spans="2:21" ht="12" hidden="1" customHeight="1" outlineLevel="2">
      <c r="B588">
        <f t="shared" si="66"/>
        <v>123</v>
      </c>
      <c r="C588" s="73" t="str">
        <v>SpareOfferD18</v>
      </c>
      <c r="D588" t="s">
        <v>170</v>
      </c>
      <c r="F588" s="106">
        <f t="shared" si="70"/>
        <v>0</v>
      </c>
      <c r="H588" s="145">
        <f t="shared" si="71"/>
        <v>0</v>
      </c>
      <c r="I588" s="145">
        <f t="shared" si="71"/>
        <v>0</v>
      </c>
      <c r="J588" s="145">
        <f t="shared" si="71"/>
        <v>0</v>
      </c>
      <c r="K588" s="145">
        <f t="shared" si="71"/>
        <v>0</v>
      </c>
      <c r="L588" s="145">
        <f t="shared" si="71"/>
        <v>0</v>
      </c>
      <c r="M588" s="145">
        <f t="shared" si="71"/>
        <v>0</v>
      </c>
      <c r="O588" s="145">
        <f t="shared" si="68"/>
        <v>0</v>
      </c>
      <c r="P588" s="145">
        <f t="shared" si="68"/>
        <v>0</v>
      </c>
      <c r="Q588" s="145">
        <f t="shared" si="68"/>
        <v>0</v>
      </c>
      <c r="S588" s="145">
        <f t="shared" si="69"/>
        <v>0</v>
      </c>
      <c r="T588" s="145">
        <f t="shared" si="69"/>
        <v>0</v>
      </c>
      <c r="U588" s="145">
        <f t="shared" si="69"/>
        <v>0</v>
      </c>
    </row>
    <row r="589" spans="2:21" ht="12" hidden="1" customHeight="1" outlineLevel="2">
      <c r="B589">
        <f t="shared" si="66"/>
        <v>124</v>
      </c>
      <c r="C589" s="73" t="str">
        <v>SpareOfferD19</v>
      </c>
      <c r="D589" t="s">
        <v>170</v>
      </c>
      <c r="F589" s="106">
        <f t="shared" si="70"/>
        <v>0</v>
      </c>
      <c r="H589" s="145">
        <f t="shared" si="71"/>
        <v>0</v>
      </c>
      <c r="I589" s="145">
        <f t="shared" si="71"/>
        <v>0</v>
      </c>
      <c r="J589" s="145">
        <f t="shared" si="71"/>
        <v>0</v>
      </c>
      <c r="K589" s="145">
        <f t="shared" si="71"/>
        <v>0</v>
      </c>
      <c r="L589" s="145">
        <f t="shared" si="71"/>
        <v>0</v>
      </c>
      <c r="M589" s="145">
        <f t="shared" si="71"/>
        <v>0</v>
      </c>
      <c r="O589" s="145">
        <f t="shared" si="68"/>
        <v>0</v>
      </c>
      <c r="P589" s="145">
        <f t="shared" si="68"/>
        <v>0</v>
      </c>
      <c r="Q589" s="145">
        <f t="shared" si="68"/>
        <v>0</v>
      </c>
      <c r="S589" s="145">
        <f t="shared" si="69"/>
        <v>0</v>
      </c>
      <c r="T589" s="145">
        <f t="shared" si="69"/>
        <v>0</v>
      </c>
      <c r="U589" s="145">
        <f t="shared" si="69"/>
        <v>0</v>
      </c>
    </row>
    <row r="590" spans="2:21" ht="12" hidden="1" customHeight="1" outlineLevel="2">
      <c r="B590">
        <f t="shared" si="66"/>
        <v>125</v>
      </c>
      <c r="C590" s="73" t="str">
        <v>SpareOfferD20</v>
      </c>
      <c r="D590" t="s">
        <v>170</v>
      </c>
      <c r="F590" s="106">
        <f t="shared" si="70"/>
        <v>0</v>
      </c>
      <c r="H590" s="145">
        <f t="shared" si="71"/>
        <v>0</v>
      </c>
      <c r="I590" s="145">
        <f t="shared" si="71"/>
        <v>0</v>
      </c>
      <c r="J590" s="145">
        <f t="shared" si="71"/>
        <v>0</v>
      </c>
      <c r="K590" s="145">
        <f t="shared" si="71"/>
        <v>0</v>
      </c>
      <c r="L590" s="145">
        <f t="shared" si="71"/>
        <v>0</v>
      </c>
      <c r="M590" s="145">
        <f t="shared" si="71"/>
        <v>0</v>
      </c>
      <c r="O590" s="145">
        <f t="shared" si="68"/>
        <v>0</v>
      </c>
      <c r="P590" s="145">
        <f t="shared" si="68"/>
        <v>0</v>
      </c>
      <c r="Q590" s="145">
        <f t="shared" si="68"/>
        <v>0</v>
      </c>
      <c r="S590" s="145">
        <f t="shared" si="69"/>
        <v>0</v>
      </c>
      <c r="T590" s="145">
        <f t="shared" si="69"/>
        <v>0</v>
      </c>
      <c r="U590" s="145">
        <f t="shared" si="69"/>
        <v>0</v>
      </c>
    </row>
    <row r="591" spans="2:21" ht="12" hidden="1" customHeight="1" outlineLevel="2">
      <c r="B591">
        <f t="shared" si="66"/>
        <v>126</v>
      </c>
      <c r="C591" s="73" t="str">
        <v>SpareOfferD21</v>
      </c>
      <c r="D591" t="s">
        <v>170</v>
      </c>
      <c r="F591" s="106">
        <f t="shared" si="70"/>
        <v>0</v>
      </c>
      <c r="H591" s="145">
        <f t="shared" ref="H591:M605" si="72">INDEX(per.sub.revenues.by.revenues.descriptions,$B591,MATCH(H$569,revenue.descriptions.short,0))</f>
        <v>0</v>
      </c>
      <c r="I591" s="145">
        <f t="shared" si="72"/>
        <v>0</v>
      </c>
      <c r="J591" s="145">
        <f t="shared" si="72"/>
        <v>0</v>
      </c>
      <c r="K591" s="145">
        <f t="shared" si="72"/>
        <v>0</v>
      </c>
      <c r="L591" s="145">
        <f t="shared" si="72"/>
        <v>0</v>
      </c>
      <c r="M591" s="145">
        <f t="shared" si="72"/>
        <v>0</v>
      </c>
      <c r="O591" s="145">
        <f t="shared" ref="O591:Q605" si="73">INDEX(per.sub.revenues.by.revenues.descriptions,$B591,MATCH(O$569,revenue.descriptions.short,0))</f>
        <v>0</v>
      </c>
      <c r="P591" s="145">
        <f t="shared" si="73"/>
        <v>0</v>
      </c>
      <c r="Q591" s="145">
        <f t="shared" si="73"/>
        <v>0</v>
      </c>
      <c r="S591" s="145">
        <f t="shared" ref="S591:U605" si="74">INDEX(per.sub.revenues.by.revenues.descriptions,$B591,MATCH(S$569,revenue.descriptions.short,0))</f>
        <v>0</v>
      </c>
      <c r="T591" s="145">
        <f t="shared" si="74"/>
        <v>0</v>
      </c>
      <c r="U591" s="145">
        <f t="shared" si="74"/>
        <v>0</v>
      </c>
    </row>
    <row r="592" spans="2:21" ht="12" hidden="1" customHeight="1" outlineLevel="2">
      <c r="B592">
        <f t="shared" si="66"/>
        <v>127</v>
      </c>
      <c r="C592" s="73" t="str">
        <v>SpareOfferD22</v>
      </c>
      <c r="D592" t="s">
        <v>170</v>
      </c>
      <c r="F592" s="106">
        <f t="shared" si="70"/>
        <v>0</v>
      </c>
      <c r="H592" s="145">
        <f t="shared" si="72"/>
        <v>0</v>
      </c>
      <c r="I592" s="145">
        <f t="shared" si="72"/>
        <v>0</v>
      </c>
      <c r="J592" s="145">
        <f t="shared" si="72"/>
        <v>0</v>
      </c>
      <c r="K592" s="145">
        <f t="shared" si="72"/>
        <v>0</v>
      </c>
      <c r="L592" s="145">
        <f t="shared" si="72"/>
        <v>0</v>
      </c>
      <c r="M592" s="145">
        <f t="shared" si="72"/>
        <v>0</v>
      </c>
      <c r="O592" s="145">
        <f t="shared" si="73"/>
        <v>0</v>
      </c>
      <c r="P592" s="145">
        <f t="shared" si="73"/>
        <v>0</v>
      </c>
      <c r="Q592" s="145">
        <f t="shared" si="73"/>
        <v>0</v>
      </c>
      <c r="S592" s="145">
        <f t="shared" si="74"/>
        <v>0</v>
      </c>
      <c r="T592" s="145">
        <f t="shared" si="74"/>
        <v>0</v>
      </c>
      <c r="U592" s="145">
        <f t="shared" si="74"/>
        <v>0</v>
      </c>
    </row>
    <row r="593" spans="2:21" ht="12" hidden="1" customHeight="1" outlineLevel="2">
      <c r="B593">
        <f t="shared" si="66"/>
        <v>128</v>
      </c>
      <c r="C593" s="73" t="str">
        <v>SpareOfferD23</v>
      </c>
      <c r="D593" t="s">
        <v>170</v>
      </c>
      <c r="F593" s="106">
        <f t="shared" si="70"/>
        <v>0</v>
      </c>
      <c r="H593" s="145">
        <f t="shared" si="72"/>
        <v>0</v>
      </c>
      <c r="I593" s="145">
        <f t="shared" si="72"/>
        <v>0</v>
      </c>
      <c r="J593" s="145">
        <f t="shared" si="72"/>
        <v>0</v>
      </c>
      <c r="K593" s="145">
        <f t="shared" si="72"/>
        <v>0</v>
      </c>
      <c r="L593" s="145">
        <f t="shared" si="72"/>
        <v>0</v>
      </c>
      <c r="M593" s="145">
        <f t="shared" si="72"/>
        <v>0</v>
      </c>
      <c r="O593" s="145">
        <f t="shared" si="73"/>
        <v>0</v>
      </c>
      <c r="P593" s="145">
        <f t="shared" si="73"/>
        <v>0</v>
      </c>
      <c r="Q593" s="145">
        <f t="shared" si="73"/>
        <v>0</v>
      </c>
      <c r="S593" s="145">
        <f t="shared" si="74"/>
        <v>0</v>
      </c>
      <c r="T593" s="145">
        <f t="shared" si="74"/>
        <v>0</v>
      </c>
      <c r="U593" s="145">
        <f t="shared" si="74"/>
        <v>0</v>
      </c>
    </row>
    <row r="594" spans="2:21" ht="12" hidden="1" customHeight="1" outlineLevel="2">
      <c r="B594">
        <f t="shared" si="66"/>
        <v>129</v>
      </c>
      <c r="C594" s="73" t="str">
        <v>SpareOfferD24</v>
      </c>
      <c r="D594" t="s">
        <v>170</v>
      </c>
      <c r="F594" s="106">
        <f t="shared" si="70"/>
        <v>0</v>
      </c>
      <c r="H594" s="145">
        <f t="shared" si="72"/>
        <v>0</v>
      </c>
      <c r="I594" s="145">
        <f t="shared" si="72"/>
        <v>0</v>
      </c>
      <c r="J594" s="145">
        <f t="shared" si="72"/>
        <v>0</v>
      </c>
      <c r="K594" s="145">
        <f t="shared" si="72"/>
        <v>0</v>
      </c>
      <c r="L594" s="145">
        <f t="shared" si="72"/>
        <v>0</v>
      </c>
      <c r="M594" s="145">
        <f t="shared" si="72"/>
        <v>0</v>
      </c>
      <c r="O594" s="145">
        <f t="shared" si="73"/>
        <v>0</v>
      </c>
      <c r="P594" s="145">
        <f t="shared" si="73"/>
        <v>0</v>
      </c>
      <c r="Q594" s="145">
        <f t="shared" si="73"/>
        <v>0</v>
      </c>
      <c r="S594" s="145">
        <f t="shared" si="74"/>
        <v>0</v>
      </c>
      <c r="T594" s="145">
        <f t="shared" si="74"/>
        <v>0</v>
      </c>
      <c r="U594" s="145">
        <f t="shared" si="74"/>
        <v>0</v>
      </c>
    </row>
    <row r="595" spans="2:21" ht="12" hidden="1" customHeight="1" outlineLevel="2">
      <c r="B595">
        <f t="shared" si="66"/>
        <v>130</v>
      </c>
      <c r="C595" s="73" t="str">
        <v>SpareOfferD25</v>
      </c>
      <c r="D595" t="s">
        <v>170</v>
      </c>
      <c r="F595" s="106">
        <f t="shared" si="70"/>
        <v>0</v>
      </c>
      <c r="H595" s="145">
        <f t="shared" si="72"/>
        <v>0</v>
      </c>
      <c r="I595" s="145">
        <f t="shared" si="72"/>
        <v>0</v>
      </c>
      <c r="J595" s="145">
        <f t="shared" si="72"/>
        <v>0</v>
      </c>
      <c r="K595" s="145">
        <f t="shared" si="72"/>
        <v>0</v>
      </c>
      <c r="L595" s="145">
        <f t="shared" si="72"/>
        <v>0</v>
      </c>
      <c r="M595" s="145">
        <f t="shared" si="72"/>
        <v>0</v>
      </c>
      <c r="O595" s="145">
        <f t="shared" si="73"/>
        <v>0</v>
      </c>
      <c r="P595" s="145">
        <f t="shared" si="73"/>
        <v>0</v>
      </c>
      <c r="Q595" s="145">
        <f t="shared" si="73"/>
        <v>0</v>
      </c>
      <c r="S595" s="145">
        <f t="shared" si="74"/>
        <v>0</v>
      </c>
      <c r="T595" s="145">
        <f t="shared" si="74"/>
        <v>0</v>
      </c>
      <c r="U595" s="145">
        <f t="shared" si="74"/>
        <v>0</v>
      </c>
    </row>
    <row r="596" spans="2:21" ht="12" hidden="1" customHeight="1" outlineLevel="2">
      <c r="B596">
        <f t="shared" si="66"/>
        <v>131</v>
      </c>
      <c r="C596" s="73" t="str">
        <v>SpareOfferD26</v>
      </c>
      <c r="D596" t="s">
        <v>170</v>
      </c>
      <c r="F596" s="106">
        <f t="shared" si="70"/>
        <v>0</v>
      </c>
      <c r="H596" s="145">
        <f t="shared" si="72"/>
        <v>0</v>
      </c>
      <c r="I596" s="145">
        <f t="shared" si="72"/>
        <v>0</v>
      </c>
      <c r="J596" s="145">
        <f t="shared" si="72"/>
        <v>0</v>
      </c>
      <c r="K596" s="145">
        <f t="shared" si="72"/>
        <v>0</v>
      </c>
      <c r="L596" s="145">
        <f t="shared" si="72"/>
        <v>0</v>
      </c>
      <c r="M596" s="145">
        <f t="shared" si="72"/>
        <v>0</v>
      </c>
      <c r="O596" s="145">
        <f t="shared" si="73"/>
        <v>0</v>
      </c>
      <c r="P596" s="145">
        <f t="shared" si="73"/>
        <v>0</v>
      </c>
      <c r="Q596" s="145">
        <f t="shared" si="73"/>
        <v>0</v>
      </c>
      <c r="S596" s="145">
        <f t="shared" si="74"/>
        <v>0</v>
      </c>
      <c r="T596" s="145">
        <f t="shared" si="74"/>
        <v>0</v>
      </c>
      <c r="U596" s="145">
        <f t="shared" si="74"/>
        <v>0</v>
      </c>
    </row>
    <row r="597" spans="2:21" ht="12" hidden="1" customHeight="1" outlineLevel="2">
      <c r="B597">
        <f t="shared" si="66"/>
        <v>132</v>
      </c>
      <c r="C597" s="73" t="str">
        <v>SpareOfferD27</v>
      </c>
      <c r="D597" t="s">
        <v>170</v>
      </c>
      <c r="F597" s="106">
        <f t="shared" si="70"/>
        <v>0</v>
      </c>
      <c r="H597" s="145">
        <f t="shared" si="72"/>
        <v>0</v>
      </c>
      <c r="I597" s="145">
        <f t="shared" si="72"/>
        <v>0</v>
      </c>
      <c r="J597" s="145">
        <f t="shared" si="72"/>
        <v>0</v>
      </c>
      <c r="K597" s="145">
        <f t="shared" si="72"/>
        <v>0</v>
      </c>
      <c r="L597" s="145">
        <f t="shared" si="72"/>
        <v>0</v>
      </c>
      <c r="M597" s="145">
        <f t="shared" si="72"/>
        <v>0</v>
      </c>
      <c r="O597" s="145">
        <f t="shared" si="73"/>
        <v>0</v>
      </c>
      <c r="P597" s="145">
        <f t="shared" si="73"/>
        <v>0</v>
      </c>
      <c r="Q597" s="145">
        <f t="shared" si="73"/>
        <v>0</v>
      </c>
      <c r="S597" s="145">
        <f t="shared" si="74"/>
        <v>0</v>
      </c>
      <c r="T597" s="145">
        <f t="shared" si="74"/>
        <v>0</v>
      </c>
      <c r="U597" s="145">
        <f t="shared" si="74"/>
        <v>0</v>
      </c>
    </row>
    <row r="598" spans="2:21" ht="12" hidden="1" customHeight="1" outlineLevel="2">
      <c r="B598">
        <f t="shared" si="66"/>
        <v>133</v>
      </c>
      <c r="C598" s="73" t="str">
        <v>SpareOfferD28</v>
      </c>
      <c r="D598" t="s">
        <v>170</v>
      </c>
      <c r="F598" s="106">
        <f t="shared" si="70"/>
        <v>0</v>
      </c>
      <c r="H598" s="145">
        <f t="shared" si="72"/>
        <v>0</v>
      </c>
      <c r="I598" s="145">
        <f t="shared" si="72"/>
        <v>0</v>
      </c>
      <c r="J598" s="145">
        <f t="shared" si="72"/>
        <v>0</v>
      </c>
      <c r="K598" s="145">
        <f t="shared" si="72"/>
        <v>0</v>
      </c>
      <c r="L598" s="145">
        <f t="shared" si="72"/>
        <v>0</v>
      </c>
      <c r="M598" s="145">
        <f t="shared" si="72"/>
        <v>0</v>
      </c>
      <c r="O598" s="145">
        <f t="shared" si="73"/>
        <v>0</v>
      </c>
      <c r="P598" s="145">
        <f t="shared" si="73"/>
        <v>0</v>
      </c>
      <c r="Q598" s="145">
        <f t="shared" si="73"/>
        <v>0</v>
      </c>
      <c r="S598" s="145">
        <f t="shared" si="74"/>
        <v>0</v>
      </c>
      <c r="T598" s="145">
        <f t="shared" si="74"/>
        <v>0</v>
      </c>
      <c r="U598" s="145">
        <f t="shared" si="74"/>
        <v>0</v>
      </c>
    </row>
    <row r="599" spans="2:21" ht="12" hidden="1" customHeight="1" outlineLevel="2">
      <c r="B599">
        <f t="shared" si="66"/>
        <v>134</v>
      </c>
      <c r="C599" s="73" t="str">
        <v>SpareOfferD29</v>
      </c>
      <c r="D599" t="s">
        <v>170</v>
      </c>
      <c r="F599" s="106">
        <f t="shared" si="70"/>
        <v>0</v>
      </c>
      <c r="H599" s="145">
        <f t="shared" si="72"/>
        <v>0</v>
      </c>
      <c r="I599" s="145">
        <f t="shared" si="72"/>
        <v>0</v>
      </c>
      <c r="J599" s="145">
        <f t="shared" si="72"/>
        <v>0</v>
      </c>
      <c r="K599" s="145">
        <f t="shared" si="72"/>
        <v>0</v>
      </c>
      <c r="L599" s="145">
        <f t="shared" si="72"/>
        <v>0</v>
      </c>
      <c r="M599" s="145">
        <f t="shared" si="72"/>
        <v>0</v>
      </c>
      <c r="O599" s="145">
        <f t="shared" si="73"/>
        <v>0</v>
      </c>
      <c r="P599" s="145">
        <f t="shared" si="73"/>
        <v>0</v>
      </c>
      <c r="Q599" s="145">
        <f t="shared" si="73"/>
        <v>0</v>
      </c>
      <c r="S599" s="145">
        <f t="shared" si="74"/>
        <v>0</v>
      </c>
      <c r="T599" s="145">
        <f t="shared" si="74"/>
        <v>0</v>
      </c>
      <c r="U599" s="145">
        <f t="shared" si="74"/>
        <v>0</v>
      </c>
    </row>
    <row r="600" spans="2:21" ht="12" hidden="1" customHeight="1" outlineLevel="2">
      <c r="B600">
        <f t="shared" si="66"/>
        <v>135</v>
      </c>
      <c r="C600" s="73" t="str">
        <v>SpareOfferD30</v>
      </c>
      <c r="D600" t="s">
        <v>170</v>
      </c>
      <c r="F600" s="106">
        <f t="shared" si="70"/>
        <v>0</v>
      </c>
      <c r="H600" s="145">
        <f t="shared" si="72"/>
        <v>0</v>
      </c>
      <c r="I600" s="145">
        <f t="shared" si="72"/>
        <v>0</v>
      </c>
      <c r="J600" s="145">
        <f t="shared" si="72"/>
        <v>0</v>
      </c>
      <c r="K600" s="145">
        <f t="shared" si="72"/>
        <v>0</v>
      </c>
      <c r="L600" s="145">
        <f t="shared" si="72"/>
        <v>0</v>
      </c>
      <c r="M600" s="145">
        <f t="shared" si="72"/>
        <v>0</v>
      </c>
      <c r="O600" s="145">
        <f t="shared" si="73"/>
        <v>0</v>
      </c>
      <c r="P600" s="145">
        <f t="shared" si="73"/>
        <v>0</v>
      </c>
      <c r="Q600" s="145">
        <f t="shared" si="73"/>
        <v>0</v>
      </c>
      <c r="S600" s="145">
        <f t="shared" si="74"/>
        <v>0</v>
      </c>
      <c r="T600" s="145">
        <f t="shared" si="74"/>
        <v>0</v>
      </c>
      <c r="U600" s="145">
        <f t="shared" si="74"/>
        <v>0</v>
      </c>
    </row>
    <row r="601" spans="2:21" ht="12" hidden="1" customHeight="1" outlineLevel="2">
      <c r="B601">
        <f t="shared" si="66"/>
        <v>136</v>
      </c>
      <c r="C601" s="73" t="str">
        <v>SpareOfferD31</v>
      </c>
      <c r="D601" t="s">
        <v>170</v>
      </c>
      <c r="F601" s="106">
        <f t="shared" si="70"/>
        <v>0</v>
      </c>
      <c r="H601" s="145">
        <f t="shared" si="72"/>
        <v>0</v>
      </c>
      <c r="I601" s="145">
        <f t="shared" si="72"/>
        <v>0</v>
      </c>
      <c r="J601" s="145">
        <f t="shared" si="72"/>
        <v>0</v>
      </c>
      <c r="K601" s="145">
        <f t="shared" si="72"/>
        <v>0</v>
      </c>
      <c r="L601" s="145">
        <f t="shared" si="72"/>
        <v>0</v>
      </c>
      <c r="M601" s="145">
        <f t="shared" si="72"/>
        <v>0</v>
      </c>
      <c r="O601" s="145">
        <f t="shared" si="73"/>
        <v>0</v>
      </c>
      <c r="P601" s="145">
        <f t="shared" si="73"/>
        <v>0</v>
      </c>
      <c r="Q601" s="145">
        <f t="shared" si="73"/>
        <v>0</v>
      </c>
      <c r="S601" s="145">
        <f t="shared" si="74"/>
        <v>0</v>
      </c>
      <c r="T601" s="145">
        <f t="shared" si="74"/>
        <v>0</v>
      </c>
      <c r="U601" s="145">
        <f t="shared" si="74"/>
        <v>0</v>
      </c>
    </row>
    <row r="602" spans="2:21" ht="12" hidden="1" customHeight="1" outlineLevel="2">
      <c r="B602">
        <f t="shared" si="66"/>
        <v>137</v>
      </c>
      <c r="C602" s="73" t="str">
        <v>SpareOfferD32</v>
      </c>
      <c r="D602" t="s">
        <v>170</v>
      </c>
      <c r="F602" s="106">
        <f t="shared" si="70"/>
        <v>0</v>
      </c>
      <c r="H602" s="145">
        <f t="shared" si="72"/>
        <v>0</v>
      </c>
      <c r="I602" s="145">
        <f t="shared" si="72"/>
        <v>0</v>
      </c>
      <c r="J602" s="145">
        <f t="shared" si="72"/>
        <v>0</v>
      </c>
      <c r="K602" s="145">
        <f t="shared" si="72"/>
        <v>0</v>
      </c>
      <c r="L602" s="145">
        <f t="shared" si="72"/>
        <v>0</v>
      </c>
      <c r="M602" s="145">
        <f t="shared" si="72"/>
        <v>0</v>
      </c>
      <c r="O602" s="145">
        <f t="shared" si="73"/>
        <v>0</v>
      </c>
      <c r="P602" s="145">
        <f t="shared" si="73"/>
        <v>0</v>
      </c>
      <c r="Q602" s="145">
        <f t="shared" si="73"/>
        <v>0</v>
      </c>
      <c r="S602" s="145">
        <f t="shared" si="74"/>
        <v>0</v>
      </c>
      <c r="T602" s="145">
        <f t="shared" si="74"/>
        <v>0</v>
      </c>
      <c r="U602" s="145">
        <f t="shared" si="74"/>
        <v>0</v>
      </c>
    </row>
    <row r="603" spans="2:21" ht="12" hidden="1" customHeight="1" outlineLevel="2">
      <c r="B603">
        <f t="shared" si="66"/>
        <v>138</v>
      </c>
      <c r="C603" s="73" t="str">
        <v>SpareOfferD33</v>
      </c>
      <c r="D603" t="s">
        <v>170</v>
      </c>
      <c r="F603" s="106">
        <f t="shared" si="70"/>
        <v>0</v>
      </c>
      <c r="H603" s="145">
        <f t="shared" si="72"/>
        <v>0</v>
      </c>
      <c r="I603" s="145">
        <f t="shared" si="72"/>
        <v>0</v>
      </c>
      <c r="J603" s="145">
        <f t="shared" si="72"/>
        <v>0</v>
      </c>
      <c r="K603" s="145">
        <f t="shared" si="72"/>
        <v>0</v>
      </c>
      <c r="L603" s="145">
        <f t="shared" si="72"/>
        <v>0</v>
      </c>
      <c r="M603" s="145">
        <f t="shared" si="72"/>
        <v>0</v>
      </c>
      <c r="O603" s="145">
        <f t="shared" si="73"/>
        <v>0</v>
      </c>
      <c r="P603" s="145">
        <f t="shared" si="73"/>
        <v>0</v>
      </c>
      <c r="Q603" s="145">
        <f t="shared" si="73"/>
        <v>0</v>
      </c>
      <c r="S603" s="145">
        <f t="shared" si="74"/>
        <v>0</v>
      </c>
      <c r="T603" s="145">
        <f t="shared" si="74"/>
        <v>0</v>
      </c>
      <c r="U603" s="145">
        <f t="shared" si="74"/>
        <v>0</v>
      </c>
    </row>
    <row r="604" spans="2:21" ht="12" hidden="1" customHeight="1" outlineLevel="2">
      <c r="B604">
        <f t="shared" si="66"/>
        <v>139</v>
      </c>
      <c r="C604" s="73" t="str">
        <v>SpareOfferD34</v>
      </c>
      <c r="D604" t="s">
        <v>170</v>
      </c>
      <c r="F604" s="106">
        <f t="shared" si="70"/>
        <v>0</v>
      </c>
      <c r="H604" s="145">
        <f t="shared" si="72"/>
        <v>0</v>
      </c>
      <c r="I604" s="145">
        <f t="shared" si="72"/>
        <v>0</v>
      </c>
      <c r="J604" s="145">
        <f t="shared" si="72"/>
        <v>0</v>
      </c>
      <c r="K604" s="145">
        <f t="shared" si="72"/>
        <v>0</v>
      </c>
      <c r="L604" s="145">
        <f t="shared" si="72"/>
        <v>0</v>
      </c>
      <c r="M604" s="145">
        <f t="shared" si="72"/>
        <v>0</v>
      </c>
      <c r="O604" s="145">
        <f t="shared" si="73"/>
        <v>0</v>
      </c>
      <c r="P604" s="145">
        <f t="shared" si="73"/>
        <v>0</v>
      </c>
      <c r="Q604" s="145">
        <f t="shared" si="73"/>
        <v>0</v>
      </c>
      <c r="S604" s="145">
        <f t="shared" si="74"/>
        <v>0</v>
      </c>
      <c r="T604" s="145">
        <f t="shared" si="74"/>
        <v>0</v>
      </c>
      <c r="U604" s="145">
        <f t="shared" si="74"/>
        <v>0</v>
      </c>
    </row>
    <row r="605" spans="2:21" outlineLevel="1" collapsed="1">
      <c r="B605">
        <f t="shared" si="66"/>
        <v>140</v>
      </c>
      <c r="C605" s="73" t="str">
        <v>-</v>
      </c>
      <c r="D605" t="s">
        <v>170</v>
      </c>
      <c r="F605" s="106">
        <f t="shared" si="70"/>
        <v>0</v>
      </c>
      <c r="H605" s="145">
        <f t="shared" si="72"/>
        <v>0</v>
      </c>
      <c r="I605" s="145">
        <f t="shared" si="72"/>
        <v>0</v>
      </c>
      <c r="J605" s="145">
        <f t="shared" si="72"/>
        <v>0</v>
      </c>
      <c r="K605" s="145">
        <f t="shared" si="72"/>
        <v>0</v>
      </c>
      <c r="L605" s="145">
        <f t="shared" si="72"/>
        <v>0</v>
      </c>
      <c r="M605" s="145">
        <f t="shared" si="72"/>
        <v>0</v>
      </c>
      <c r="O605" s="145">
        <f t="shared" si="73"/>
        <v>0</v>
      </c>
      <c r="P605" s="145">
        <f t="shared" si="73"/>
        <v>0</v>
      </c>
      <c r="Q605" s="145">
        <f t="shared" si="73"/>
        <v>0</v>
      </c>
      <c r="S605" s="145">
        <f t="shared" si="74"/>
        <v>0</v>
      </c>
      <c r="T605" s="145">
        <f t="shared" si="74"/>
        <v>0</v>
      </c>
      <c r="U605" s="145">
        <f t="shared" si="74"/>
        <v>0</v>
      </c>
    </row>
    <row r="606" spans="2:21" outlineLevel="1"/>
    <row r="607" spans="2:21" outlineLevel="1">
      <c r="B607" s="91" t="s">
        <v>197</v>
      </c>
      <c r="H607" s="223">
        <f t="array" ref="H607:J607">Incoming.termination</f>
        <v>0</v>
      </c>
      <c r="I607" s="223">
        <v>0</v>
      </c>
      <c r="J607" s="223">
        <v>0</v>
      </c>
    </row>
    <row r="608" spans="2:21" ht="23" outlineLevel="1">
      <c r="F608" s="1" t="s">
        <v>171</v>
      </c>
      <c r="H608" s="95" t="str">
        <f t="array" ref="H608:J608">options.selected.termination</f>
        <v>Voice termination</v>
      </c>
      <c r="I608" s="95" t="str">
        <v>Message termination</v>
      </c>
      <c r="J608" s="95" t="str">
        <v>Spare 1</v>
      </c>
    </row>
    <row r="609" spans="2:10" outlineLevel="1">
      <c r="C609" s="1" t="s">
        <v>309</v>
      </c>
      <c r="D609" t="s">
        <v>170</v>
      </c>
      <c r="F609" s="146">
        <f>SUMPRODUCT(subscription.split.segment.4,F610:F644)</f>
        <v>0</v>
      </c>
      <c r="H609" s="146">
        <f>SUMPRODUCT(subscription.split.segment.4,H610:H644)</f>
        <v>0</v>
      </c>
      <c r="I609" s="146">
        <f>SUMPRODUCT(subscription.split.segment.4,I610:I644)</f>
        <v>0</v>
      </c>
      <c r="J609" s="146">
        <f>SUMPRODUCT(subscription.split.segment.4,J610:J644)</f>
        <v>0</v>
      </c>
    </row>
    <row r="610" spans="2:10" outlineLevel="1">
      <c r="B610">
        <f t="shared" ref="B610:B644" si="75">MATCH(C610,offers.segment.all,0)</f>
        <v>106</v>
      </c>
      <c r="C610" s="73" t="str">
        <f t="array" ref="C610:C644">offers.segment.4</f>
        <v>SpareOfferD1</v>
      </c>
      <c r="D610" t="s">
        <v>170</v>
      </c>
      <c r="F610" s="147">
        <f t="shared" ref="F610:F644" si="76">SUM(H610:J610)</f>
        <v>0</v>
      </c>
      <c r="H610" s="161">
        <f t="shared" ref="H610:J629" si="77">INDEX(per.sub.volumes.by.demand.descriptions,$B610,MATCH(H$608,demand.descriptions.short,0))*H$607</f>
        <v>0</v>
      </c>
      <c r="I610" s="122">
        <f t="shared" ref="I610:I644" si="78">IF(wholesale.offer.type.selected=lbl.SP,0,INDEX(per.sub.revenues.by.revenues.descriptions,$B610,MATCH(I$608,revenue.descriptions.short,0)))</f>
        <v>0</v>
      </c>
      <c r="J610" s="161">
        <f t="shared" si="77"/>
        <v>0</v>
      </c>
    </row>
    <row r="611" spans="2:10" hidden="1" outlineLevel="2">
      <c r="B611">
        <f t="shared" si="75"/>
        <v>107</v>
      </c>
      <c r="C611" s="73" t="str">
        <v>SpareOfferD2</v>
      </c>
      <c r="D611" t="s">
        <v>170</v>
      </c>
      <c r="F611" s="147">
        <f t="shared" si="76"/>
        <v>0</v>
      </c>
      <c r="H611" s="161">
        <f t="shared" si="77"/>
        <v>0</v>
      </c>
      <c r="I611" s="122">
        <f t="shared" si="78"/>
        <v>0</v>
      </c>
      <c r="J611" s="161">
        <f t="shared" si="77"/>
        <v>0</v>
      </c>
    </row>
    <row r="612" spans="2:10" hidden="1" outlineLevel="2">
      <c r="B612">
        <f t="shared" si="75"/>
        <v>108</v>
      </c>
      <c r="C612" s="73" t="str">
        <v>SpareOfferD3</v>
      </c>
      <c r="D612" t="s">
        <v>170</v>
      </c>
      <c r="F612" s="147">
        <f t="shared" si="76"/>
        <v>0</v>
      </c>
      <c r="H612" s="161">
        <f t="shared" si="77"/>
        <v>0</v>
      </c>
      <c r="I612" s="122">
        <f t="shared" si="78"/>
        <v>0</v>
      </c>
      <c r="J612" s="161">
        <f t="shared" si="77"/>
        <v>0</v>
      </c>
    </row>
    <row r="613" spans="2:10" hidden="1" outlineLevel="2">
      <c r="B613">
        <f t="shared" si="75"/>
        <v>109</v>
      </c>
      <c r="C613" s="73" t="str">
        <v>SpareOfferD4</v>
      </c>
      <c r="D613" t="s">
        <v>170</v>
      </c>
      <c r="F613" s="147">
        <f t="shared" si="76"/>
        <v>0</v>
      </c>
      <c r="H613" s="161">
        <f t="shared" si="77"/>
        <v>0</v>
      </c>
      <c r="I613" s="122">
        <f t="shared" si="78"/>
        <v>0</v>
      </c>
      <c r="J613" s="161">
        <f t="shared" si="77"/>
        <v>0</v>
      </c>
    </row>
    <row r="614" spans="2:10" hidden="1" outlineLevel="2">
      <c r="B614">
        <f t="shared" si="75"/>
        <v>110</v>
      </c>
      <c r="C614" s="73" t="str">
        <v>SpareOfferD5</v>
      </c>
      <c r="D614" t="s">
        <v>170</v>
      </c>
      <c r="F614" s="147">
        <f t="shared" si="76"/>
        <v>0</v>
      </c>
      <c r="H614" s="161">
        <f t="shared" si="77"/>
        <v>0</v>
      </c>
      <c r="I614" s="122">
        <f t="shared" si="78"/>
        <v>0</v>
      </c>
      <c r="J614" s="161">
        <f t="shared" si="77"/>
        <v>0</v>
      </c>
    </row>
    <row r="615" spans="2:10" hidden="1" outlineLevel="2">
      <c r="B615">
        <f t="shared" si="75"/>
        <v>111</v>
      </c>
      <c r="C615" s="73" t="str">
        <v>SpareOfferD6</v>
      </c>
      <c r="D615" t="s">
        <v>170</v>
      </c>
      <c r="F615" s="147">
        <f t="shared" si="76"/>
        <v>0</v>
      </c>
      <c r="H615" s="161">
        <f t="shared" si="77"/>
        <v>0</v>
      </c>
      <c r="I615" s="122">
        <f t="shared" si="78"/>
        <v>0</v>
      </c>
      <c r="J615" s="161">
        <f t="shared" si="77"/>
        <v>0</v>
      </c>
    </row>
    <row r="616" spans="2:10" hidden="1" outlineLevel="2">
      <c r="B616">
        <f t="shared" si="75"/>
        <v>112</v>
      </c>
      <c r="C616" s="73" t="str">
        <v>SpareOfferD7</v>
      </c>
      <c r="D616" t="s">
        <v>170</v>
      </c>
      <c r="F616" s="147">
        <f t="shared" si="76"/>
        <v>0</v>
      </c>
      <c r="H616" s="161">
        <f t="shared" si="77"/>
        <v>0</v>
      </c>
      <c r="I616" s="122">
        <f t="shared" si="78"/>
        <v>0</v>
      </c>
      <c r="J616" s="161">
        <f t="shared" si="77"/>
        <v>0</v>
      </c>
    </row>
    <row r="617" spans="2:10" hidden="1" outlineLevel="2">
      <c r="B617">
        <f t="shared" si="75"/>
        <v>113</v>
      </c>
      <c r="C617" s="73" t="str">
        <v>SpareOfferD8</v>
      </c>
      <c r="D617" t="s">
        <v>170</v>
      </c>
      <c r="F617" s="147">
        <f t="shared" si="76"/>
        <v>0</v>
      </c>
      <c r="H617" s="161">
        <f t="shared" si="77"/>
        <v>0</v>
      </c>
      <c r="I617" s="122">
        <f t="shared" si="78"/>
        <v>0</v>
      </c>
      <c r="J617" s="161">
        <f t="shared" si="77"/>
        <v>0</v>
      </c>
    </row>
    <row r="618" spans="2:10" hidden="1" outlineLevel="2">
      <c r="B618">
        <f t="shared" si="75"/>
        <v>114</v>
      </c>
      <c r="C618" s="73" t="str">
        <v>SpareOfferD9</v>
      </c>
      <c r="D618" t="s">
        <v>170</v>
      </c>
      <c r="F618" s="147">
        <f t="shared" si="76"/>
        <v>0</v>
      </c>
      <c r="H618" s="161">
        <f t="shared" si="77"/>
        <v>0</v>
      </c>
      <c r="I618" s="122">
        <f t="shared" si="78"/>
        <v>0</v>
      </c>
      <c r="J618" s="161">
        <f t="shared" si="77"/>
        <v>0</v>
      </c>
    </row>
    <row r="619" spans="2:10" hidden="1" outlineLevel="2">
      <c r="B619">
        <f t="shared" si="75"/>
        <v>115</v>
      </c>
      <c r="C619" s="73" t="str">
        <v>SpareOfferD10</v>
      </c>
      <c r="D619" t="s">
        <v>170</v>
      </c>
      <c r="F619" s="147">
        <f t="shared" si="76"/>
        <v>0</v>
      </c>
      <c r="H619" s="161">
        <f t="shared" si="77"/>
        <v>0</v>
      </c>
      <c r="I619" s="122">
        <f t="shared" si="78"/>
        <v>0</v>
      </c>
      <c r="J619" s="161">
        <f t="shared" si="77"/>
        <v>0</v>
      </c>
    </row>
    <row r="620" spans="2:10" hidden="1" outlineLevel="2">
      <c r="B620">
        <f t="shared" si="75"/>
        <v>116</v>
      </c>
      <c r="C620" s="73" t="str">
        <v>SpareOfferD11</v>
      </c>
      <c r="D620" t="s">
        <v>170</v>
      </c>
      <c r="F620" s="147">
        <f t="shared" si="76"/>
        <v>0</v>
      </c>
      <c r="H620" s="161">
        <f t="shared" si="77"/>
        <v>0</v>
      </c>
      <c r="I620" s="122">
        <f t="shared" si="78"/>
        <v>0</v>
      </c>
      <c r="J620" s="161">
        <f t="shared" si="77"/>
        <v>0</v>
      </c>
    </row>
    <row r="621" spans="2:10" hidden="1" outlineLevel="2">
      <c r="B621">
        <f t="shared" si="75"/>
        <v>117</v>
      </c>
      <c r="C621" s="73" t="str">
        <v>SpareOfferD12</v>
      </c>
      <c r="D621" t="s">
        <v>170</v>
      </c>
      <c r="F621" s="147">
        <f t="shared" si="76"/>
        <v>0</v>
      </c>
      <c r="H621" s="161">
        <f t="shared" si="77"/>
        <v>0</v>
      </c>
      <c r="I621" s="122">
        <f t="shared" si="78"/>
        <v>0</v>
      </c>
      <c r="J621" s="161">
        <f t="shared" si="77"/>
        <v>0</v>
      </c>
    </row>
    <row r="622" spans="2:10" hidden="1" outlineLevel="2">
      <c r="B622">
        <f t="shared" si="75"/>
        <v>118</v>
      </c>
      <c r="C622" s="73" t="str">
        <v>SpareOfferD13</v>
      </c>
      <c r="D622" t="s">
        <v>170</v>
      </c>
      <c r="F622" s="147">
        <f t="shared" si="76"/>
        <v>0</v>
      </c>
      <c r="H622" s="161">
        <f t="shared" si="77"/>
        <v>0</v>
      </c>
      <c r="I622" s="122">
        <f t="shared" si="78"/>
        <v>0</v>
      </c>
      <c r="J622" s="161">
        <f t="shared" si="77"/>
        <v>0</v>
      </c>
    </row>
    <row r="623" spans="2:10" hidden="1" outlineLevel="2">
      <c r="B623">
        <f t="shared" si="75"/>
        <v>119</v>
      </c>
      <c r="C623" s="73" t="str">
        <v>SpareOfferD14</v>
      </c>
      <c r="D623" t="s">
        <v>170</v>
      </c>
      <c r="F623" s="147">
        <f t="shared" si="76"/>
        <v>0</v>
      </c>
      <c r="H623" s="161">
        <f t="shared" si="77"/>
        <v>0</v>
      </c>
      <c r="I623" s="122">
        <f t="shared" si="78"/>
        <v>0</v>
      </c>
      <c r="J623" s="161">
        <f t="shared" si="77"/>
        <v>0</v>
      </c>
    </row>
    <row r="624" spans="2:10" hidden="1" outlineLevel="2">
      <c r="B624">
        <f t="shared" si="75"/>
        <v>120</v>
      </c>
      <c r="C624" s="73" t="str">
        <v>SpareOfferD15</v>
      </c>
      <c r="D624" t="s">
        <v>170</v>
      </c>
      <c r="F624" s="147">
        <f t="shared" si="76"/>
        <v>0</v>
      </c>
      <c r="H624" s="161">
        <f t="shared" si="77"/>
        <v>0</v>
      </c>
      <c r="I624" s="122">
        <f t="shared" si="78"/>
        <v>0</v>
      </c>
      <c r="J624" s="161">
        <f t="shared" si="77"/>
        <v>0</v>
      </c>
    </row>
    <row r="625" spans="2:10" hidden="1" outlineLevel="2">
      <c r="B625">
        <f t="shared" si="75"/>
        <v>121</v>
      </c>
      <c r="C625" s="73" t="str">
        <v>SpareOfferD16</v>
      </c>
      <c r="D625" t="s">
        <v>170</v>
      </c>
      <c r="F625" s="147">
        <f t="shared" si="76"/>
        <v>0</v>
      </c>
      <c r="H625" s="161">
        <f t="shared" si="77"/>
        <v>0</v>
      </c>
      <c r="I625" s="122">
        <f t="shared" si="78"/>
        <v>0</v>
      </c>
      <c r="J625" s="161">
        <f t="shared" si="77"/>
        <v>0</v>
      </c>
    </row>
    <row r="626" spans="2:10" hidden="1" outlineLevel="2">
      <c r="B626">
        <f t="shared" si="75"/>
        <v>122</v>
      </c>
      <c r="C626" s="73" t="str">
        <v>SpareOfferD17</v>
      </c>
      <c r="D626" t="s">
        <v>170</v>
      </c>
      <c r="F626" s="147">
        <f t="shared" si="76"/>
        <v>0</v>
      </c>
      <c r="H626" s="161">
        <f t="shared" si="77"/>
        <v>0</v>
      </c>
      <c r="I626" s="122">
        <f t="shared" si="78"/>
        <v>0</v>
      </c>
      <c r="J626" s="161">
        <f t="shared" si="77"/>
        <v>0</v>
      </c>
    </row>
    <row r="627" spans="2:10" hidden="1" outlineLevel="2">
      <c r="B627">
        <f t="shared" si="75"/>
        <v>123</v>
      </c>
      <c r="C627" s="73" t="str">
        <v>SpareOfferD18</v>
      </c>
      <c r="D627" t="s">
        <v>170</v>
      </c>
      <c r="F627" s="147">
        <f t="shared" si="76"/>
        <v>0</v>
      </c>
      <c r="H627" s="161">
        <f t="shared" si="77"/>
        <v>0</v>
      </c>
      <c r="I627" s="122">
        <f t="shared" si="78"/>
        <v>0</v>
      </c>
      <c r="J627" s="161">
        <f t="shared" si="77"/>
        <v>0</v>
      </c>
    </row>
    <row r="628" spans="2:10" hidden="1" outlineLevel="2">
      <c r="B628">
        <f t="shared" si="75"/>
        <v>124</v>
      </c>
      <c r="C628" s="73" t="str">
        <v>SpareOfferD19</v>
      </c>
      <c r="D628" t="s">
        <v>170</v>
      </c>
      <c r="F628" s="147">
        <f t="shared" si="76"/>
        <v>0</v>
      </c>
      <c r="H628" s="161">
        <f t="shared" si="77"/>
        <v>0</v>
      </c>
      <c r="I628" s="122">
        <f t="shared" si="78"/>
        <v>0</v>
      </c>
      <c r="J628" s="161">
        <f t="shared" si="77"/>
        <v>0</v>
      </c>
    </row>
    <row r="629" spans="2:10" hidden="1" outlineLevel="2">
      <c r="B629">
        <f t="shared" si="75"/>
        <v>125</v>
      </c>
      <c r="C629" s="73" t="str">
        <v>SpareOfferD20</v>
      </c>
      <c r="D629" t="s">
        <v>170</v>
      </c>
      <c r="F629" s="147">
        <f t="shared" si="76"/>
        <v>0</v>
      </c>
      <c r="H629" s="161">
        <f t="shared" si="77"/>
        <v>0</v>
      </c>
      <c r="I629" s="122">
        <f t="shared" si="78"/>
        <v>0</v>
      </c>
      <c r="J629" s="161">
        <f t="shared" si="77"/>
        <v>0</v>
      </c>
    </row>
    <row r="630" spans="2:10" hidden="1" outlineLevel="2">
      <c r="B630">
        <f t="shared" si="75"/>
        <v>126</v>
      </c>
      <c r="C630" s="73" t="str">
        <v>SpareOfferD21</v>
      </c>
      <c r="D630" t="s">
        <v>170</v>
      </c>
      <c r="F630" s="147">
        <f t="shared" si="76"/>
        <v>0</v>
      </c>
      <c r="H630" s="161">
        <f t="shared" ref="H630:J644" si="79">INDEX(per.sub.volumes.by.demand.descriptions,$B630,MATCH(H$608,demand.descriptions.short,0))*H$607</f>
        <v>0</v>
      </c>
      <c r="I630" s="122">
        <f t="shared" si="78"/>
        <v>0</v>
      </c>
      <c r="J630" s="161">
        <f t="shared" si="79"/>
        <v>0</v>
      </c>
    </row>
    <row r="631" spans="2:10" hidden="1" outlineLevel="2">
      <c r="B631">
        <f t="shared" si="75"/>
        <v>127</v>
      </c>
      <c r="C631" s="73" t="str">
        <v>SpareOfferD22</v>
      </c>
      <c r="D631" t="s">
        <v>170</v>
      </c>
      <c r="F631" s="147">
        <f t="shared" si="76"/>
        <v>0</v>
      </c>
      <c r="H631" s="161">
        <f t="shared" si="79"/>
        <v>0</v>
      </c>
      <c r="I631" s="122">
        <f t="shared" si="78"/>
        <v>0</v>
      </c>
      <c r="J631" s="161">
        <f t="shared" si="79"/>
        <v>0</v>
      </c>
    </row>
    <row r="632" spans="2:10" hidden="1" outlineLevel="2">
      <c r="B632">
        <f t="shared" si="75"/>
        <v>128</v>
      </c>
      <c r="C632" s="73" t="str">
        <v>SpareOfferD23</v>
      </c>
      <c r="D632" t="s">
        <v>170</v>
      </c>
      <c r="F632" s="147">
        <f t="shared" si="76"/>
        <v>0</v>
      </c>
      <c r="H632" s="161">
        <f t="shared" si="79"/>
        <v>0</v>
      </c>
      <c r="I632" s="122">
        <f t="shared" si="78"/>
        <v>0</v>
      </c>
      <c r="J632" s="161">
        <f t="shared" si="79"/>
        <v>0</v>
      </c>
    </row>
    <row r="633" spans="2:10" hidden="1" outlineLevel="2">
      <c r="B633">
        <f t="shared" si="75"/>
        <v>129</v>
      </c>
      <c r="C633" s="73" t="str">
        <v>SpareOfferD24</v>
      </c>
      <c r="D633" t="s">
        <v>170</v>
      </c>
      <c r="F633" s="147">
        <f t="shared" si="76"/>
        <v>0</v>
      </c>
      <c r="H633" s="161">
        <f t="shared" si="79"/>
        <v>0</v>
      </c>
      <c r="I633" s="122">
        <f t="shared" si="78"/>
        <v>0</v>
      </c>
      <c r="J633" s="161">
        <f t="shared" si="79"/>
        <v>0</v>
      </c>
    </row>
    <row r="634" spans="2:10" hidden="1" outlineLevel="2">
      <c r="B634">
        <f t="shared" si="75"/>
        <v>130</v>
      </c>
      <c r="C634" s="73" t="str">
        <v>SpareOfferD25</v>
      </c>
      <c r="D634" t="s">
        <v>170</v>
      </c>
      <c r="F634" s="147">
        <f t="shared" si="76"/>
        <v>0</v>
      </c>
      <c r="H634" s="161">
        <f t="shared" si="79"/>
        <v>0</v>
      </c>
      <c r="I634" s="122">
        <f t="shared" si="78"/>
        <v>0</v>
      </c>
      <c r="J634" s="161">
        <f t="shared" si="79"/>
        <v>0</v>
      </c>
    </row>
    <row r="635" spans="2:10" hidden="1" outlineLevel="2">
      <c r="B635">
        <f t="shared" si="75"/>
        <v>131</v>
      </c>
      <c r="C635" s="73" t="str">
        <v>SpareOfferD26</v>
      </c>
      <c r="D635" t="s">
        <v>170</v>
      </c>
      <c r="F635" s="147">
        <f t="shared" si="76"/>
        <v>0</v>
      </c>
      <c r="H635" s="161">
        <f t="shared" si="79"/>
        <v>0</v>
      </c>
      <c r="I635" s="122">
        <f t="shared" si="78"/>
        <v>0</v>
      </c>
      <c r="J635" s="161">
        <f t="shared" si="79"/>
        <v>0</v>
      </c>
    </row>
    <row r="636" spans="2:10" hidden="1" outlineLevel="2">
      <c r="B636">
        <f t="shared" si="75"/>
        <v>132</v>
      </c>
      <c r="C636" s="73" t="str">
        <v>SpareOfferD27</v>
      </c>
      <c r="D636" t="s">
        <v>170</v>
      </c>
      <c r="F636" s="147">
        <f t="shared" si="76"/>
        <v>0</v>
      </c>
      <c r="H636" s="161">
        <f t="shared" si="79"/>
        <v>0</v>
      </c>
      <c r="I636" s="122">
        <f t="shared" si="78"/>
        <v>0</v>
      </c>
      <c r="J636" s="161">
        <f t="shared" si="79"/>
        <v>0</v>
      </c>
    </row>
    <row r="637" spans="2:10" hidden="1" outlineLevel="2">
      <c r="B637">
        <f t="shared" si="75"/>
        <v>133</v>
      </c>
      <c r="C637" s="73" t="str">
        <v>SpareOfferD28</v>
      </c>
      <c r="D637" t="s">
        <v>170</v>
      </c>
      <c r="F637" s="147">
        <f t="shared" si="76"/>
        <v>0</v>
      </c>
      <c r="H637" s="161">
        <f t="shared" si="79"/>
        <v>0</v>
      </c>
      <c r="I637" s="122">
        <f t="shared" si="78"/>
        <v>0</v>
      </c>
      <c r="J637" s="161">
        <f t="shared" si="79"/>
        <v>0</v>
      </c>
    </row>
    <row r="638" spans="2:10" hidden="1" outlineLevel="2">
      <c r="B638">
        <f t="shared" si="75"/>
        <v>134</v>
      </c>
      <c r="C638" s="73" t="str">
        <v>SpareOfferD29</v>
      </c>
      <c r="D638" t="s">
        <v>170</v>
      </c>
      <c r="F638" s="147">
        <f t="shared" si="76"/>
        <v>0</v>
      </c>
      <c r="H638" s="161">
        <f t="shared" si="79"/>
        <v>0</v>
      </c>
      <c r="I638" s="122">
        <f t="shared" si="78"/>
        <v>0</v>
      </c>
      <c r="J638" s="161">
        <f t="shared" si="79"/>
        <v>0</v>
      </c>
    </row>
    <row r="639" spans="2:10" hidden="1" outlineLevel="2">
      <c r="B639">
        <f t="shared" si="75"/>
        <v>135</v>
      </c>
      <c r="C639" s="73" t="str">
        <v>SpareOfferD30</v>
      </c>
      <c r="D639" t="s">
        <v>170</v>
      </c>
      <c r="F639" s="147">
        <f t="shared" si="76"/>
        <v>0</v>
      </c>
      <c r="H639" s="161">
        <f t="shared" si="79"/>
        <v>0</v>
      </c>
      <c r="I639" s="122">
        <f t="shared" si="78"/>
        <v>0</v>
      </c>
      <c r="J639" s="161">
        <f t="shared" si="79"/>
        <v>0</v>
      </c>
    </row>
    <row r="640" spans="2:10" hidden="1" outlineLevel="2">
      <c r="B640">
        <f t="shared" si="75"/>
        <v>136</v>
      </c>
      <c r="C640" s="73" t="str">
        <v>SpareOfferD31</v>
      </c>
      <c r="D640" t="s">
        <v>170</v>
      </c>
      <c r="F640" s="147">
        <f t="shared" si="76"/>
        <v>0</v>
      </c>
      <c r="H640" s="161">
        <f t="shared" si="79"/>
        <v>0</v>
      </c>
      <c r="I640" s="122">
        <f t="shared" si="78"/>
        <v>0</v>
      </c>
      <c r="J640" s="161">
        <f t="shared" si="79"/>
        <v>0</v>
      </c>
    </row>
    <row r="641" spans="1:11" hidden="1" outlineLevel="2">
      <c r="B641">
        <f t="shared" si="75"/>
        <v>137</v>
      </c>
      <c r="C641" s="73" t="str">
        <v>SpareOfferD32</v>
      </c>
      <c r="D641" t="s">
        <v>170</v>
      </c>
      <c r="F641" s="147">
        <f t="shared" si="76"/>
        <v>0</v>
      </c>
      <c r="H641" s="161">
        <f t="shared" si="79"/>
        <v>0</v>
      </c>
      <c r="I641" s="122">
        <f t="shared" si="78"/>
        <v>0</v>
      </c>
      <c r="J641" s="161">
        <f t="shared" si="79"/>
        <v>0</v>
      </c>
    </row>
    <row r="642" spans="1:11" hidden="1" outlineLevel="2">
      <c r="B642">
        <f t="shared" si="75"/>
        <v>138</v>
      </c>
      <c r="C642" s="73" t="str">
        <v>SpareOfferD33</v>
      </c>
      <c r="D642" t="s">
        <v>170</v>
      </c>
      <c r="F642" s="147">
        <f t="shared" si="76"/>
        <v>0</v>
      </c>
      <c r="H642" s="161">
        <f t="shared" si="79"/>
        <v>0</v>
      </c>
      <c r="I642" s="122">
        <f t="shared" si="78"/>
        <v>0</v>
      </c>
      <c r="J642" s="161">
        <f t="shared" si="79"/>
        <v>0</v>
      </c>
    </row>
    <row r="643" spans="1:11" hidden="1" outlineLevel="2">
      <c r="B643">
        <f t="shared" si="75"/>
        <v>139</v>
      </c>
      <c r="C643" s="73" t="str">
        <v>SpareOfferD34</v>
      </c>
      <c r="D643" t="s">
        <v>170</v>
      </c>
      <c r="F643" s="147">
        <f t="shared" si="76"/>
        <v>0</v>
      </c>
      <c r="H643" s="161">
        <f t="shared" si="79"/>
        <v>0</v>
      </c>
      <c r="I643" s="122">
        <f t="shared" si="78"/>
        <v>0</v>
      </c>
      <c r="J643" s="161">
        <f t="shared" si="79"/>
        <v>0</v>
      </c>
    </row>
    <row r="644" spans="1:11" outlineLevel="1" collapsed="1">
      <c r="B644">
        <f t="shared" si="75"/>
        <v>140</v>
      </c>
      <c r="C644" s="73" t="str">
        <v>-</v>
      </c>
      <c r="D644" t="s">
        <v>170</v>
      </c>
      <c r="F644" s="147">
        <f t="shared" si="76"/>
        <v>0</v>
      </c>
      <c r="H644" s="161">
        <f t="shared" si="79"/>
        <v>0</v>
      </c>
      <c r="I644" s="122">
        <f t="shared" si="78"/>
        <v>0</v>
      </c>
      <c r="J644" s="161">
        <f t="shared" si="79"/>
        <v>0</v>
      </c>
    </row>
    <row r="646" spans="1:11" ht="15.5">
      <c r="A646" s="36" t="s">
        <v>648</v>
      </c>
    </row>
    <row r="648" spans="1:11" s="220" customFormat="1">
      <c r="A648" s="220">
        <v>1</v>
      </c>
      <c r="B648" s="221" t="str">
        <f>INDEX(segments,A648)</f>
        <v>Residential</v>
      </c>
      <c r="C648" s="207"/>
    </row>
    <row r="649" spans="1:11" outlineLevel="1"/>
    <row r="650" spans="1:11" outlineLevel="1">
      <c r="I650" s="267">
        <f>telenor.retail.segment.1.subscribers/million</f>
        <v>1.7327170000000001</v>
      </c>
      <c r="J650" s="25" t="s">
        <v>117</v>
      </c>
    </row>
    <row r="651" spans="1:11" ht="23" outlineLevel="1">
      <c r="C651" s="91" t="s">
        <v>389</v>
      </c>
      <c r="F651" s="115" t="s">
        <v>369</v>
      </c>
      <c r="G651" s="115" t="s">
        <v>639</v>
      </c>
      <c r="I651" s="1" t="s">
        <v>368</v>
      </c>
      <c r="J651" s="1" t="s">
        <v>634</v>
      </c>
    </row>
    <row r="652" spans="1:11" outlineLevel="1">
      <c r="C652" t="s">
        <v>200</v>
      </c>
      <c r="D652" t="s">
        <v>220</v>
      </c>
      <c r="F652" s="231">
        <f>INDEX(prop.mobile.handset.revenue.by.segment,1,A648)*total.mobile.handsets.revenues/months.per.year</f>
        <v>0</v>
      </c>
      <c r="G652" s="282">
        <f>INDEX(prop.mobile.handset.cost.by.segment,1,A648)*total.mobile.handsets.external.costs/months.per.year</f>
        <v>0</v>
      </c>
      <c r="H652" t="s">
        <v>170</v>
      </c>
      <c r="I652" s="106">
        <f>IF($I$650=0, 0, F652/$I$650)</f>
        <v>0</v>
      </c>
      <c r="J652" s="106">
        <f>IF($I$650=0, 0, G652/$I$650)</f>
        <v>0</v>
      </c>
    </row>
    <row r="653" spans="1:11" outlineLevel="1">
      <c r="C653" t="s">
        <v>647</v>
      </c>
      <c r="D653" t="s">
        <v>220</v>
      </c>
      <c r="F653" s="266">
        <f>INDEX(prop.mobile.other.revenue.by.segment,1,A648)*total.other.additional.revenues/months.per.year</f>
        <v>0</v>
      </c>
      <c r="G653" s="282">
        <f>INDEX(prop.mobile.other.cost.by.segment,1,A648)*total.other.external.costs/months.per.year</f>
        <v>0</v>
      </c>
      <c r="H653" t="s">
        <v>170</v>
      </c>
      <c r="I653" s="106">
        <f>IF($I$650=0, 0, F653/$I$650)</f>
        <v>0</v>
      </c>
      <c r="J653" s="106">
        <f>IF($I$650=0, 0, G653/$I$650)</f>
        <v>0</v>
      </c>
    </row>
    <row r="654" spans="1:11" ht="12" outlineLevel="1">
      <c r="I654" s="138">
        <f>SUM(I652:I653)</f>
        <v>0</v>
      </c>
      <c r="J654" s="138">
        <f>SUM(J652:J653)</f>
        <v>0</v>
      </c>
      <c r="K654" s="43" t="s">
        <v>640</v>
      </c>
    </row>
    <row r="655" spans="1:11" outlineLevel="1">
      <c r="C655" s="91" t="s">
        <v>390</v>
      </c>
    </row>
    <row r="656" spans="1:11" ht="27.75" customHeight="1" outlineLevel="1">
      <c r="F656" s="95" t="s">
        <v>468</v>
      </c>
      <c r="G656" s="95" t="s">
        <v>440</v>
      </c>
    </row>
    <row r="657" spans="3:7" outlineLevel="1">
      <c r="C657" s="93" t="s">
        <v>391</v>
      </c>
      <c r="D657" t="s">
        <v>170</v>
      </c>
      <c r="F657" s="146">
        <f>SUMPRODUCT(subscription.split.segment.1,F658:F692)</f>
        <v>0</v>
      </c>
      <c r="G657" s="146">
        <f>SUMPRODUCT(subscription.split.segment.1,G658:G692)</f>
        <v>0</v>
      </c>
    </row>
    <row r="658" spans="3:7" outlineLevel="1">
      <c r="C658" s="73" t="str">
        <f t="array" ref="C658:C692">offers.segment.1</f>
        <v>SpareOfferA1</v>
      </c>
      <c r="D658" t="s">
        <v>170</v>
      </c>
      <c r="F658" s="222">
        <f t="shared" ref="F658:G692" si="80">INDEX(per.sub.revenues.by.revenues.descriptions,MATCH($C658,offers.segment.all,0),MATCH(F$656,revenue.descriptions.short,0))</f>
        <v>0</v>
      </c>
      <c r="G658" s="222">
        <f t="shared" si="80"/>
        <v>0</v>
      </c>
    </row>
    <row r="659" spans="3:7" hidden="1" outlineLevel="2">
      <c r="C659" s="73" t="str">
        <v>SpareOfferA2</v>
      </c>
      <c r="D659" t="s">
        <v>170</v>
      </c>
      <c r="F659" s="222">
        <f t="shared" si="80"/>
        <v>0</v>
      </c>
      <c r="G659" s="222">
        <f t="shared" si="80"/>
        <v>0</v>
      </c>
    </row>
    <row r="660" spans="3:7" hidden="1" outlineLevel="2">
      <c r="C660" s="73" t="str">
        <v>SpareOfferA3</v>
      </c>
      <c r="D660" t="s">
        <v>170</v>
      </c>
      <c r="F660" s="222">
        <f t="shared" si="80"/>
        <v>0</v>
      </c>
      <c r="G660" s="222">
        <f t="shared" si="80"/>
        <v>0</v>
      </c>
    </row>
    <row r="661" spans="3:7" hidden="1" outlineLevel="2">
      <c r="C661" s="73" t="str">
        <v>SpareOfferA4</v>
      </c>
      <c r="D661" t="s">
        <v>170</v>
      </c>
      <c r="F661" s="222">
        <f t="shared" si="80"/>
        <v>0</v>
      </c>
      <c r="G661" s="222">
        <f t="shared" si="80"/>
        <v>0</v>
      </c>
    </row>
    <row r="662" spans="3:7" hidden="1" outlineLevel="2">
      <c r="C662" s="73" t="str">
        <v>SpareOfferA5</v>
      </c>
      <c r="D662" t="s">
        <v>170</v>
      </c>
      <c r="F662" s="222">
        <f t="shared" si="80"/>
        <v>0</v>
      </c>
      <c r="G662" s="222">
        <f t="shared" si="80"/>
        <v>0</v>
      </c>
    </row>
    <row r="663" spans="3:7" hidden="1" outlineLevel="2">
      <c r="C663" s="73" t="str">
        <v>SpareOfferA6</v>
      </c>
      <c r="D663" t="s">
        <v>170</v>
      </c>
      <c r="F663" s="222">
        <f t="shared" si="80"/>
        <v>0</v>
      </c>
      <c r="G663" s="222">
        <f t="shared" si="80"/>
        <v>0</v>
      </c>
    </row>
    <row r="664" spans="3:7" hidden="1" outlineLevel="2">
      <c r="C664" s="73" t="str">
        <v>SpareOfferA7</v>
      </c>
      <c r="D664" t="s">
        <v>170</v>
      </c>
      <c r="F664" s="222">
        <f t="shared" si="80"/>
        <v>0</v>
      </c>
      <c r="G664" s="222">
        <f t="shared" si="80"/>
        <v>0</v>
      </c>
    </row>
    <row r="665" spans="3:7" hidden="1" outlineLevel="2">
      <c r="C665" s="73" t="str">
        <v>SpareOfferA8</v>
      </c>
      <c r="D665" t="s">
        <v>170</v>
      </c>
      <c r="F665" s="222">
        <f t="shared" si="80"/>
        <v>0</v>
      </c>
      <c r="G665" s="222">
        <f t="shared" si="80"/>
        <v>0</v>
      </c>
    </row>
    <row r="666" spans="3:7" hidden="1" outlineLevel="2">
      <c r="C666" s="73" t="str">
        <v>SpareOfferA9</v>
      </c>
      <c r="D666" t="s">
        <v>170</v>
      </c>
      <c r="F666" s="222">
        <f t="shared" si="80"/>
        <v>0</v>
      </c>
      <c r="G666" s="222">
        <f t="shared" si="80"/>
        <v>0</v>
      </c>
    </row>
    <row r="667" spans="3:7" hidden="1" outlineLevel="2">
      <c r="C667" s="73" t="str">
        <v>SpareOfferA10</v>
      </c>
      <c r="D667" t="s">
        <v>170</v>
      </c>
      <c r="F667" s="222">
        <f t="shared" si="80"/>
        <v>0</v>
      </c>
      <c r="G667" s="222">
        <f t="shared" si="80"/>
        <v>0</v>
      </c>
    </row>
    <row r="668" spans="3:7" hidden="1" outlineLevel="2">
      <c r="C668" s="73" t="str">
        <v>SpareOfferA11</v>
      </c>
      <c r="D668" t="s">
        <v>170</v>
      </c>
      <c r="F668" s="222">
        <f t="shared" si="80"/>
        <v>0</v>
      </c>
      <c r="G668" s="222">
        <f t="shared" si="80"/>
        <v>0</v>
      </c>
    </row>
    <row r="669" spans="3:7" hidden="1" outlineLevel="2">
      <c r="C669" s="73" t="str">
        <v>SpareOfferA12</v>
      </c>
      <c r="D669" t="s">
        <v>170</v>
      </c>
      <c r="F669" s="222">
        <f t="shared" si="80"/>
        <v>0</v>
      </c>
      <c r="G669" s="222">
        <f t="shared" si="80"/>
        <v>0</v>
      </c>
    </row>
    <row r="670" spans="3:7" hidden="1" outlineLevel="2">
      <c r="C670" s="73" t="str">
        <v>SpareOfferA13</v>
      </c>
      <c r="D670" t="s">
        <v>170</v>
      </c>
      <c r="F670" s="222">
        <f t="shared" si="80"/>
        <v>0</v>
      </c>
      <c r="G670" s="222">
        <f t="shared" si="80"/>
        <v>0</v>
      </c>
    </row>
    <row r="671" spans="3:7" hidden="1" outlineLevel="2">
      <c r="C671" s="73" t="str">
        <v>SpareOfferA14</v>
      </c>
      <c r="D671" t="s">
        <v>170</v>
      </c>
      <c r="F671" s="222">
        <f t="shared" si="80"/>
        <v>0</v>
      </c>
      <c r="G671" s="222">
        <f t="shared" si="80"/>
        <v>0</v>
      </c>
    </row>
    <row r="672" spans="3:7" hidden="1" outlineLevel="2">
      <c r="C672" s="73" t="str">
        <v>SpareOfferA15</v>
      </c>
      <c r="D672" t="s">
        <v>170</v>
      </c>
      <c r="F672" s="222">
        <f t="shared" si="80"/>
        <v>0</v>
      </c>
      <c r="G672" s="222">
        <f t="shared" si="80"/>
        <v>0</v>
      </c>
    </row>
    <row r="673" spans="3:7" hidden="1" outlineLevel="2">
      <c r="C673" s="73" t="str">
        <v>SpareOfferA16</v>
      </c>
      <c r="D673" t="s">
        <v>170</v>
      </c>
      <c r="F673" s="222">
        <f t="shared" si="80"/>
        <v>0</v>
      </c>
      <c r="G673" s="222">
        <f t="shared" si="80"/>
        <v>0</v>
      </c>
    </row>
    <row r="674" spans="3:7" hidden="1" outlineLevel="2">
      <c r="C674" s="73" t="str">
        <v>SpareOfferA17</v>
      </c>
      <c r="D674" t="s">
        <v>170</v>
      </c>
      <c r="F674" s="222">
        <f t="shared" si="80"/>
        <v>0</v>
      </c>
      <c r="G674" s="222">
        <f t="shared" si="80"/>
        <v>0</v>
      </c>
    </row>
    <row r="675" spans="3:7" hidden="1" outlineLevel="2">
      <c r="C675" s="73" t="str">
        <v>SpareOfferA18</v>
      </c>
      <c r="D675" t="s">
        <v>170</v>
      </c>
      <c r="F675" s="222">
        <f t="shared" si="80"/>
        <v>0</v>
      </c>
      <c r="G675" s="222">
        <f t="shared" si="80"/>
        <v>0</v>
      </c>
    </row>
    <row r="676" spans="3:7" hidden="1" outlineLevel="2">
      <c r="C676" s="73" t="str">
        <v>SpareOfferA19</v>
      </c>
      <c r="D676" t="s">
        <v>170</v>
      </c>
      <c r="F676" s="222">
        <f t="shared" si="80"/>
        <v>0</v>
      </c>
      <c r="G676" s="222">
        <f t="shared" si="80"/>
        <v>0</v>
      </c>
    </row>
    <row r="677" spans="3:7" hidden="1" outlineLevel="2">
      <c r="C677" s="73" t="str">
        <v>SpareOfferA20</v>
      </c>
      <c r="D677" t="s">
        <v>170</v>
      </c>
      <c r="F677" s="222">
        <f t="shared" si="80"/>
        <v>0</v>
      </c>
      <c r="G677" s="222">
        <f t="shared" si="80"/>
        <v>0</v>
      </c>
    </row>
    <row r="678" spans="3:7" hidden="1" outlineLevel="2">
      <c r="C678" s="73" t="str">
        <v>SpareOfferA21</v>
      </c>
      <c r="D678" t="s">
        <v>170</v>
      </c>
      <c r="F678" s="222">
        <f t="shared" si="80"/>
        <v>0</v>
      </c>
      <c r="G678" s="222">
        <f t="shared" si="80"/>
        <v>0</v>
      </c>
    </row>
    <row r="679" spans="3:7" hidden="1" outlineLevel="2">
      <c r="C679" s="73" t="str">
        <v>SpareOfferA22</v>
      </c>
      <c r="D679" t="s">
        <v>170</v>
      </c>
      <c r="F679" s="222">
        <f t="shared" si="80"/>
        <v>0</v>
      </c>
      <c r="G679" s="222">
        <f t="shared" si="80"/>
        <v>0</v>
      </c>
    </row>
    <row r="680" spans="3:7" hidden="1" outlineLevel="2">
      <c r="C680" s="73" t="str">
        <v>SpareOfferA23</v>
      </c>
      <c r="D680" t="s">
        <v>170</v>
      </c>
      <c r="F680" s="222">
        <f t="shared" si="80"/>
        <v>0</v>
      </c>
      <c r="G680" s="222">
        <f t="shared" si="80"/>
        <v>0</v>
      </c>
    </row>
    <row r="681" spans="3:7" hidden="1" outlineLevel="2">
      <c r="C681" s="73" t="str">
        <v>SpareOfferA24</v>
      </c>
      <c r="D681" t="s">
        <v>170</v>
      </c>
      <c r="F681" s="222">
        <f t="shared" si="80"/>
        <v>0</v>
      </c>
      <c r="G681" s="222">
        <f t="shared" si="80"/>
        <v>0</v>
      </c>
    </row>
    <row r="682" spans="3:7" hidden="1" outlineLevel="2">
      <c r="C682" s="73" t="str">
        <v>SpareOfferA25</v>
      </c>
      <c r="D682" t="s">
        <v>170</v>
      </c>
      <c r="F682" s="222">
        <f t="shared" si="80"/>
        <v>0</v>
      </c>
      <c r="G682" s="222">
        <f t="shared" si="80"/>
        <v>0</v>
      </c>
    </row>
    <row r="683" spans="3:7" hidden="1" outlineLevel="2">
      <c r="C683" s="73" t="str">
        <v>SpareOfferA26</v>
      </c>
      <c r="D683" t="s">
        <v>170</v>
      </c>
      <c r="F683" s="222">
        <f t="shared" si="80"/>
        <v>0</v>
      </c>
      <c r="G683" s="222">
        <f t="shared" si="80"/>
        <v>0</v>
      </c>
    </row>
    <row r="684" spans="3:7" hidden="1" outlineLevel="2">
      <c r="C684" s="73" t="str">
        <v>SpareOfferA27</v>
      </c>
      <c r="D684" t="s">
        <v>170</v>
      </c>
      <c r="F684" s="222">
        <f t="shared" si="80"/>
        <v>0</v>
      </c>
      <c r="G684" s="222">
        <f t="shared" si="80"/>
        <v>0</v>
      </c>
    </row>
    <row r="685" spans="3:7" hidden="1" outlineLevel="2">
      <c r="C685" s="73" t="str">
        <v>SpareOfferA28</v>
      </c>
      <c r="D685" t="s">
        <v>170</v>
      </c>
      <c r="F685" s="222">
        <f t="shared" si="80"/>
        <v>0</v>
      </c>
      <c r="G685" s="222">
        <f t="shared" si="80"/>
        <v>0</v>
      </c>
    </row>
    <row r="686" spans="3:7" hidden="1" outlineLevel="2">
      <c r="C686" s="73" t="str">
        <v>SpareOfferA29</v>
      </c>
      <c r="D686" t="s">
        <v>170</v>
      </c>
      <c r="F686" s="222">
        <f t="shared" si="80"/>
        <v>0</v>
      </c>
      <c r="G686" s="222">
        <f t="shared" si="80"/>
        <v>0</v>
      </c>
    </row>
    <row r="687" spans="3:7" hidden="1" outlineLevel="2">
      <c r="C687" s="73" t="str">
        <v>SpareOfferA30</v>
      </c>
      <c r="D687" t="s">
        <v>170</v>
      </c>
      <c r="F687" s="222">
        <f t="shared" si="80"/>
        <v>0</v>
      </c>
      <c r="G687" s="222">
        <f t="shared" si="80"/>
        <v>0</v>
      </c>
    </row>
    <row r="688" spans="3:7" hidden="1" outlineLevel="2">
      <c r="C688" s="73" t="str">
        <v>SpareOfferA31</v>
      </c>
      <c r="D688" t="s">
        <v>170</v>
      </c>
      <c r="F688" s="222">
        <f t="shared" si="80"/>
        <v>0</v>
      </c>
      <c r="G688" s="222">
        <f t="shared" si="80"/>
        <v>0</v>
      </c>
    </row>
    <row r="689" spans="1:11" hidden="1" outlineLevel="2">
      <c r="C689" s="73" t="str">
        <v>SpareOfferA32</v>
      </c>
      <c r="D689" t="s">
        <v>170</v>
      </c>
      <c r="F689" s="222">
        <f t="shared" si="80"/>
        <v>0</v>
      </c>
      <c r="G689" s="222">
        <f t="shared" si="80"/>
        <v>0</v>
      </c>
    </row>
    <row r="690" spans="1:11" hidden="1" outlineLevel="2">
      <c r="C690" s="73" t="str">
        <v>SpareOfferA33</v>
      </c>
      <c r="D690" t="s">
        <v>170</v>
      </c>
      <c r="F690" s="222">
        <f t="shared" si="80"/>
        <v>0</v>
      </c>
      <c r="G690" s="222">
        <f t="shared" si="80"/>
        <v>0</v>
      </c>
    </row>
    <row r="691" spans="1:11" hidden="1" outlineLevel="2">
      <c r="C691" s="73" t="str">
        <v>SpareOfferA34</v>
      </c>
      <c r="D691" t="s">
        <v>170</v>
      </c>
      <c r="F691" s="222">
        <f t="shared" si="80"/>
        <v>0</v>
      </c>
      <c r="G691" s="222">
        <f t="shared" si="80"/>
        <v>0</v>
      </c>
    </row>
    <row r="692" spans="1:11" outlineLevel="1" collapsed="1">
      <c r="C692" s="73" t="str">
        <v>SpareOfferA35</v>
      </c>
      <c r="D692" t="s">
        <v>170</v>
      </c>
      <c r="F692" s="222">
        <f t="shared" si="80"/>
        <v>0</v>
      </c>
      <c r="G692" s="222">
        <f t="shared" si="80"/>
        <v>0</v>
      </c>
    </row>
    <row r="693" spans="1:11" outlineLevel="1"/>
    <row r="694" spans="1:11" s="220" customFormat="1">
      <c r="A694" s="220">
        <v>2</v>
      </c>
      <c r="B694" s="221" t="str">
        <f>INDEX(segments,A694)</f>
        <v>Business</v>
      </c>
      <c r="C694" s="207"/>
    </row>
    <row r="695" spans="1:11" outlineLevel="1"/>
    <row r="696" spans="1:11" outlineLevel="1">
      <c r="I696" s="267">
        <f>telenor.retail.segment.2.subscribers/million</f>
        <v>0.89546499999999996</v>
      </c>
      <c r="J696" s="25" t="s">
        <v>117</v>
      </c>
    </row>
    <row r="697" spans="1:11" ht="23" outlineLevel="1">
      <c r="C697" s="91" t="s">
        <v>389</v>
      </c>
      <c r="F697" s="115" t="s">
        <v>369</v>
      </c>
      <c r="G697" s="115" t="s">
        <v>639</v>
      </c>
      <c r="I697" s="1" t="s">
        <v>368</v>
      </c>
      <c r="J697" s="1" t="s">
        <v>634</v>
      </c>
    </row>
    <row r="698" spans="1:11" outlineLevel="1">
      <c r="C698" t="s">
        <v>200</v>
      </c>
      <c r="D698" t="s">
        <v>220</v>
      </c>
      <c r="F698" s="231">
        <f>INDEX(prop.mobile.handset.revenue.by.segment,1,A694)*total.mobile.handsets.revenues/months.per.year</f>
        <v>0</v>
      </c>
      <c r="G698" s="282">
        <f>INDEX(prop.mobile.handset.cost.by.segment,1,A694)*total.mobile.handsets.external.costs/months.per.year</f>
        <v>0</v>
      </c>
      <c r="H698" t="s">
        <v>170</v>
      </c>
      <c r="I698" s="106">
        <f>IF($I$696=0, 0, F698/$I$696)</f>
        <v>0</v>
      </c>
      <c r="J698" s="106">
        <f>IF($I$696=0, 0, G698/$I$696)</f>
        <v>0</v>
      </c>
    </row>
    <row r="699" spans="1:11" outlineLevel="1">
      <c r="C699" t="s">
        <v>647</v>
      </c>
      <c r="D699" t="s">
        <v>220</v>
      </c>
      <c r="F699" s="266">
        <f>INDEX(prop.mobile.other.revenue.by.segment,1,A694)*total.other.additional.revenues/months.per.year</f>
        <v>0</v>
      </c>
      <c r="G699" s="282">
        <f>INDEX(prop.mobile.other.cost.by.segment,1,A694)*total.other.external.costs/months.per.year</f>
        <v>0</v>
      </c>
      <c r="H699" t="s">
        <v>170</v>
      </c>
      <c r="I699" s="106">
        <f>IF($I$696=0, 0, F699/$I$696)</f>
        <v>0</v>
      </c>
      <c r="J699" s="106">
        <f>IF($I$696=0, 0, G699/$I$696)</f>
        <v>0</v>
      </c>
    </row>
    <row r="700" spans="1:11" ht="12" outlineLevel="1">
      <c r="I700" s="138">
        <f>SUM(I698:I699)</f>
        <v>0</v>
      </c>
      <c r="J700" s="138">
        <f>SUM(J698:J699)</f>
        <v>0</v>
      </c>
      <c r="K700" s="43" t="s">
        <v>641</v>
      </c>
    </row>
    <row r="701" spans="1:11" outlineLevel="1">
      <c r="C701" s="91" t="s">
        <v>390</v>
      </c>
      <c r="J701" s="129"/>
    </row>
    <row r="702" spans="1:11" ht="27.75" customHeight="1" outlineLevel="1">
      <c r="F702" s="95" t="s">
        <v>468</v>
      </c>
      <c r="G702" s="95" t="s">
        <v>440</v>
      </c>
    </row>
    <row r="703" spans="1:11" outlineLevel="1">
      <c r="C703" s="93" t="s">
        <v>391</v>
      </c>
      <c r="D703" t="s">
        <v>170</v>
      </c>
      <c r="F703" s="146">
        <f>SUMPRODUCT(subscription.split.segment.2,F704:F738)</f>
        <v>0</v>
      </c>
      <c r="G703" s="146">
        <f>SUMPRODUCT(subscription.split.segment.2,G704:G738)</f>
        <v>0</v>
      </c>
    </row>
    <row r="704" spans="1:11" outlineLevel="1">
      <c r="C704" s="73" t="str">
        <f t="array" ref="C704:C738">offers.segment.2</f>
        <v>SpareOfferB1</v>
      </c>
      <c r="D704" t="s">
        <v>170</v>
      </c>
      <c r="F704" s="222">
        <f t="shared" ref="F704:G738" si="81">INDEX(per.sub.revenues.by.revenues.descriptions,MATCH($C704,offers.segment.all,0),MATCH(F$702,revenue.descriptions.short,0))</f>
        <v>0</v>
      </c>
      <c r="G704" s="222">
        <f t="shared" si="81"/>
        <v>0</v>
      </c>
    </row>
    <row r="705" spans="3:7" hidden="1" outlineLevel="2">
      <c r="C705" s="73" t="str">
        <v>SpareOfferB2</v>
      </c>
      <c r="D705" t="s">
        <v>170</v>
      </c>
      <c r="F705" s="222">
        <f t="shared" si="81"/>
        <v>0</v>
      </c>
      <c r="G705" s="222">
        <f t="shared" si="81"/>
        <v>0</v>
      </c>
    </row>
    <row r="706" spans="3:7" hidden="1" outlineLevel="2">
      <c r="C706" s="73" t="str">
        <v>SpareOfferB3</v>
      </c>
      <c r="D706" t="s">
        <v>170</v>
      </c>
      <c r="F706" s="222">
        <f t="shared" si="81"/>
        <v>0</v>
      </c>
      <c r="G706" s="222">
        <f t="shared" si="81"/>
        <v>0</v>
      </c>
    </row>
    <row r="707" spans="3:7" hidden="1" outlineLevel="2">
      <c r="C707" s="73" t="str">
        <v>SpareOfferB4</v>
      </c>
      <c r="D707" t="s">
        <v>170</v>
      </c>
      <c r="F707" s="222">
        <f t="shared" si="81"/>
        <v>0</v>
      </c>
      <c r="G707" s="222">
        <f t="shared" si="81"/>
        <v>0</v>
      </c>
    </row>
    <row r="708" spans="3:7" hidden="1" outlineLevel="2">
      <c r="C708" s="73" t="str">
        <v>SpareOfferB5</v>
      </c>
      <c r="D708" t="s">
        <v>170</v>
      </c>
      <c r="F708" s="222">
        <f t="shared" si="81"/>
        <v>0</v>
      </c>
      <c r="G708" s="222">
        <f t="shared" si="81"/>
        <v>0</v>
      </c>
    </row>
    <row r="709" spans="3:7" hidden="1" outlineLevel="2">
      <c r="C709" s="73" t="str">
        <v>SpareOfferB6</v>
      </c>
      <c r="D709" t="s">
        <v>170</v>
      </c>
      <c r="F709" s="222">
        <f t="shared" si="81"/>
        <v>0</v>
      </c>
      <c r="G709" s="222">
        <f t="shared" si="81"/>
        <v>0</v>
      </c>
    </row>
    <row r="710" spans="3:7" hidden="1" outlineLevel="2">
      <c r="C710" s="73" t="str">
        <v>SpareOfferB7</v>
      </c>
      <c r="D710" t="s">
        <v>170</v>
      </c>
      <c r="F710" s="222">
        <f t="shared" si="81"/>
        <v>0</v>
      </c>
      <c r="G710" s="222">
        <f t="shared" si="81"/>
        <v>0</v>
      </c>
    </row>
    <row r="711" spans="3:7" hidden="1" outlineLevel="2">
      <c r="C711" s="73" t="str">
        <v>SpareOfferB8</v>
      </c>
      <c r="D711" t="s">
        <v>170</v>
      </c>
      <c r="F711" s="222">
        <f t="shared" si="81"/>
        <v>0</v>
      </c>
      <c r="G711" s="222">
        <f t="shared" si="81"/>
        <v>0</v>
      </c>
    </row>
    <row r="712" spans="3:7" hidden="1" outlineLevel="2">
      <c r="C712" s="73" t="str">
        <v>SpareOfferB9</v>
      </c>
      <c r="D712" t="s">
        <v>170</v>
      </c>
      <c r="F712" s="222">
        <f t="shared" si="81"/>
        <v>0</v>
      </c>
      <c r="G712" s="222">
        <f t="shared" si="81"/>
        <v>0</v>
      </c>
    </row>
    <row r="713" spans="3:7" hidden="1" outlineLevel="2">
      <c r="C713" s="73" t="str">
        <v>SpareOfferB10</v>
      </c>
      <c r="D713" t="s">
        <v>170</v>
      </c>
      <c r="F713" s="222">
        <f t="shared" si="81"/>
        <v>0</v>
      </c>
      <c r="G713" s="222">
        <f t="shared" si="81"/>
        <v>0</v>
      </c>
    </row>
    <row r="714" spans="3:7" hidden="1" outlineLevel="2">
      <c r="C714" s="73" t="str">
        <v>SpareOfferB11</v>
      </c>
      <c r="D714" t="s">
        <v>170</v>
      </c>
      <c r="F714" s="222">
        <f t="shared" si="81"/>
        <v>0</v>
      </c>
      <c r="G714" s="222">
        <f t="shared" si="81"/>
        <v>0</v>
      </c>
    </row>
    <row r="715" spans="3:7" hidden="1" outlineLevel="2">
      <c r="C715" s="73" t="str">
        <v>SpareOfferB12</v>
      </c>
      <c r="D715" t="s">
        <v>170</v>
      </c>
      <c r="F715" s="222">
        <f t="shared" si="81"/>
        <v>0</v>
      </c>
      <c r="G715" s="222">
        <f t="shared" si="81"/>
        <v>0</v>
      </c>
    </row>
    <row r="716" spans="3:7" hidden="1" outlineLevel="2">
      <c r="C716" s="73" t="str">
        <v>SpareOfferB13</v>
      </c>
      <c r="D716" t="s">
        <v>170</v>
      </c>
      <c r="F716" s="222">
        <f t="shared" si="81"/>
        <v>0</v>
      </c>
      <c r="G716" s="222">
        <f t="shared" si="81"/>
        <v>0</v>
      </c>
    </row>
    <row r="717" spans="3:7" hidden="1" outlineLevel="2">
      <c r="C717" s="73" t="str">
        <v>SpareOfferB14</v>
      </c>
      <c r="D717" t="s">
        <v>170</v>
      </c>
      <c r="F717" s="222">
        <f t="shared" si="81"/>
        <v>0</v>
      </c>
      <c r="G717" s="222">
        <f t="shared" si="81"/>
        <v>0</v>
      </c>
    </row>
    <row r="718" spans="3:7" hidden="1" outlineLevel="2">
      <c r="C718" s="73" t="str">
        <v>SpareOfferB15</v>
      </c>
      <c r="D718" t="s">
        <v>170</v>
      </c>
      <c r="F718" s="222">
        <f t="shared" si="81"/>
        <v>0</v>
      </c>
      <c r="G718" s="222">
        <f t="shared" si="81"/>
        <v>0</v>
      </c>
    </row>
    <row r="719" spans="3:7" hidden="1" outlineLevel="2">
      <c r="C719" s="73" t="str">
        <v>SpareOfferB16</v>
      </c>
      <c r="D719" t="s">
        <v>170</v>
      </c>
      <c r="F719" s="222">
        <f t="shared" si="81"/>
        <v>0</v>
      </c>
      <c r="G719" s="222">
        <f t="shared" si="81"/>
        <v>0</v>
      </c>
    </row>
    <row r="720" spans="3:7" hidden="1" outlineLevel="2">
      <c r="C720" s="73" t="str">
        <v>SpareOfferB17</v>
      </c>
      <c r="D720" t="s">
        <v>170</v>
      </c>
      <c r="F720" s="222">
        <f t="shared" si="81"/>
        <v>0</v>
      </c>
      <c r="G720" s="222">
        <f t="shared" si="81"/>
        <v>0</v>
      </c>
    </row>
    <row r="721" spans="3:7" hidden="1" outlineLevel="2">
      <c r="C721" s="73" t="str">
        <v>SpareOfferB18</v>
      </c>
      <c r="D721" t="s">
        <v>170</v>
      </c>
      <c r="F721" s="222">
        <f t="shared" si="81"/>
        <v>0</v>
      </c>
      <c r="G721" s="222">
        <f t="shared" si="81"/>
        <v>0</v>
      </c>
    </row>
    <row r="722" spans="3:7" hidden="1" outlineLevel="2">
      <c r="C722" s="73" t="str">
        <v>SpareOfferB19</v>
      </c>
      <c r="D722" t="s">
        <v>170</v>
      </c>
      <c r="F722" s="222">
        <f t="shared" si="81"/>
        <v>0</v>
      </c>
      <c r="G722" s="222">
        <f t="shared" si="81"/>
        <v>0</v>
      </c>
    </row>
    <row r="723" spans="3:7" hidden="1" outlineLevel="2">
      <c r="C723" s="73" t="str">
        <v>SpareOfferB20</v>
      </c>
      <c r="D723" t="s">
        <v>170</v>
      </c>
      <c r="F723" s="222">
        <f t="shared" si="81"/>
        <v>0</v>
      </c>
      <c r="G723" s="222">
        <f t="shared" si="81"/>
        <v>0</v>
      </c>
    </row>
    <row r="724" spans="3:7" hidden="1" outlineLevel="2">
      <c r="C724" s="73" t="str">
        <v>SpareOfferB21</v>
      </c>
      <c r="D724" t="s">
        <v>170</v>
      </c>
      <c r="F724" s="222">
        <f t="shared" si="81"/>
        <v>0</v>
      </c>
      <c r="G724" s="222">
        <f t="shared" si="81"/>
        <v>0</v>
      </c>
    </row>
    <row r="725" spans="3:7" hidden="1" outlineLevel="2">
      <c r="C725" s="73" t="str">
        <v>SpareOfferB22</v>
      </c>
      <c r="D725" t="s">
        <v>170</v>
      </c>
      <c r="F725" s="222">
        <f t="shared" si="81"/>
        <v>0</v>
      </c>
      <c r="G725" s="222">
        <f t="shared" si="81"/>
        <v>0</v>
      </c>
    </row>
    <row r="726" spans="3:7" hidden="1" outlineLevel="2">
      <c r="C726" s="73" t="str">
        <v>SpareOfferB23</v>
      </c>
      <c r="D726" t="s">
        <v>170</v>
      </c>
      <c r="F726" s="222">
        <f t="shared" si="81"/>
        <v>0</v>
      </c>
      <c r="G726" s="222">
        <f t="shared" si="81"/>
        <v>0</v>
      </c>
    </row>
    <row r="727" spans="3:7" hidden="1" outlineLevel="2">
      <c r="C727" s="73" t="str">
        <v>SpareOfferB24</v>
      </c>
      <c r="D727" t="s">
        <v>170</v>
      </c>
      <c r="F727" s="222">
        <f t="shared" si="81"/>
        <v>0</v>
      </c>
      <c r="G727" s="222">
        <f t="shared" si="81"/>
        <v>0</v>
      </c>
    </row>
    <row r="728" spans="3:7" hidden="1" outlineLevel="2">
      <c r="C728" s="73" t="str">
        <v>SpareOfferB25</v>
      </c>
      <c r="D728" t="s">
        <v>170</v>
      </c>
      <c r="F728" s="222">
        <f t="shared" si="81"/>
        <v>0</v>
      </c>
      <c r="G728" s="222">
        <f t="shared" si="81"/>
        <v>0</v>
      </c>
    </row>
    <row r="729" spans="3:7" hidden="1" outlineLevel="2">
      <c r="C729" s="73" t="str">
        <v>SpareOfferB26</v>
      </c>
      <c r="D729" t="s">
        <v>170</v>
      </c>
      <c r="F729" s="222">
        <f t="shared" si="81"/>
        <v>0</v>
      </c>
      <c r="G729" s="222">
        <f t="shared" si="81"/>
        <v>0</v>
      </c>
    </row>
    <row r="730" spans="3:7" hidden="1" outlineLevel="2">
      <c r="C730" s="73" t="str">
        <v>SpareOfferB27</v>
      </c>
      <c r="D730" t="s">
        <v>170</v>
      </c>
      <c r="F730" s="222">
        <f t="shared" si="81"/>
        <v>0</v>
      </c>
      <c r="G730" s="222">
        <f t="shared" si="81"/>
        <v>0</v>
      </c>
    </row>
    <row r="731" spans="3:7" hidden="1" outlineLevel="2">
      <c r="C731" s="73" t="str">
        <v>SpareOfferB28</v>
      </c>
      <c r="D731" t="s">
        <v>170</v>
      </c>
      <c r="F731" s="222">
        <f t="shared" si="81"/>
        <v>0</v>
      </c>
      <c r="G731" s="222">
        <f t="shared" si="81"/>
        <v>0</v>
      </c>
    </row>
    <row r="732" spans="3:7" hidden="1" outlineLevel="2">
      <c r="C732" s="73" t="str">
        <v>SpareOfferB29</v>
      </c>
      <c r="D732" t="s">
        <v>170</v>
      </c>
      <c r="F732" s="222">
        <f t="shared" si="81"/>
        <v>0</v>
      </c>
      <c r="G732" s="222">
        <f t="shared" si="81"/>
        <v>0</v>
      </c>
    </row>
    <row r="733" spans="3:7" hidden="1" outlineLevel="2">
      <c r="C733" s="73" t="str">
        <v>SpareOfferB30</v>
      </c>
      <c r="D733" t="s">
        <v>170</v>
      </c>
      <c r="F733" s="222">
        <f t="shared" si="81"/>
        <v>0</v>
      </c>
      <c r="G733" s="222">
        <f t="shared" si="81"/>
        <v>0</v>
      </c>
    </row>
    <row r="734" spans="3:7" hidden="1" outlineLevel="2">
      <c r="C734" s="73" t="str">
        <v>SpareOfferB31</v>
      </c>
      <c r="D734" t="s">
        <v>170</v>
      </c>
      <c r="F734" s="222">
        <f t="shared" si="81"/>
        <v>0</v>
      </c>
      <c r="G734" s="222">
        <f t="shared" si="81"/>
        <v>0</v>
      </c>
    </row>
    <row r="735" spans="3:7" hidden="1" outlineLevel="2">
      <c r="C735" s="73" t="str">
        <v>SpareOfferB32</v>
      </c>
      <c r="D735" t="s">
        <v>170</v>
      </c>
      <c r="F735" s="222">
        <f t="shared" si="81"/>
        <v>0</v>
      </c>
      <c r="G735" s="222">
        <f t="shared" si="81"/>
        <v>0</v>
      </c>
    </row>
    <row r="736" spans="3:7" hidden="1" outlineLevel="2">
      <c r="C736" s="73" t="str">
        <v>SpareOfferB33</v>
      </c>
      <c r="D736" t="s">
        <v>170</v>
      </c>
      <c r="F736" s="222">
        <f t="shared" si="81"/>
        <v>0</v>
      </c>
      <c r="G736" s="222">
        <f t="shared" si="81"/>
        <v>0</v>
      </c>
    </row>
    <row r="737" spans="1:11" hidden="1" outlineLevel="2">
      <c r="C737" s="73" t="str">
        <v>SpareOfferB34</v>
      </c>
      <c r="D737" t="s">
        <v>170</v>
      </c>
      <c r="F737" s="222">
        <f t="shared" si="81"/>
        <v>0</v>
      </c>
      <c r="G737" s="222">
        <f t="shared" si="81"/>
        <v>0</v>
      </c>
    </row>
    <row r="738" spans="1:11" outlineLevel="1" collapsed="1">
      <c r="C738" s="73" t="str">
        <v>SpareOfferB35</v>
      </c>
      <c r="D738" t="s">
        <v>170</v>
      </c>
      <c r="F738" s="222">
        <f t="shared" si="81"/>
        <v>0</v>
      </c>
      <c r="G738" s="222">
        <f t="shared" si="81"/>
        <v>0</v>
      </c>
    </row>
    <row r="739" spans="1:11" outlineLevel="1"/>
    <row r="740" spans="1:11" s="220" customFormat="1">
      <c r="A740" s="220">
        <v>3</v>
      </c>
      <c r="B740" s="221" t="str">
        <f>INDEX(segments,A740)</f>
        <v>SpareSegmentC</v>
      </c>
      <c r="C740" s="207"/>
    </row>
    <row r="741" spans="1:11" outlineLevel="1"/>
    <row r="742" spans="1:11" outlineLevel="1">
      <c r="I742" s="267">
        <f>telenor.retail.segment.3.subscribers/million</f>
        <v>0</v>
      </c>
      <c r="J742" s="25" t="s">
        <v>117</v>
      </c>
    </row>
    <row r="743" spans="1:11" ht="23" outlineLevel="1">
      <c r="C743" s="91" t="s">
        <v>389</v>
      </c>
      <c r="F743" s="115" t="s">
        <v>369</v>
      </c>
      <c r="G743" s="115" t="s">
        <v>639</v>
      </c>
      <c r="I743" s="1" t="s">
        <v>368</v>
      </c>
      <c r="J743" s="1" t="s">
        <v>634</v>
      </c>
    </row>
    <row r="744" spans="1:11" outlineLevel="1">
      <c r="C744" t="s">
        <v>200</v>
      </c>
      <c r="D744" t="s">
        <v>220</v>
      </c>
      <c r="F744" s="231">
        <f>INDEX(prop.mobile.handset.revenue.by.segment,1,A740)*total.mobile.handsets.revenues/months.per.year</f>
        <v>0</v>
      </c>
      <c r="G744" s="282">
        <f>INDEX(prop.mobile.handset.cost.by.segment,1,A740)*total.mobile.handsets.external.costs/months.per.year</f>
        <v>0</v>
      </c>
      <c r="H744" t="s">
        <v>170</v>
      </c>
      <c r="I744" s="106">
        <f>IF($I$742=0, 0, F744/$I$742)</f>
        <v>0</v>
      </c>
      <c r="J744" s="106">
        <f>IF($I$742=0, 0, G744/$I$742)</f>
        <v>0</v>
      </c>
    </row>
    <row r="745" spans="1:11" outlineLevel="1">
      <c r="C745" t="s">
        <v>647</v>
      </c>
      <c r="D745" t="s">
        <v>220</v>
      </c>
      <c r="F745" s="266">
        <f>INDEX(prop.mobile.other.revenue.by.segment,1,A740)*total.other.additional.revenues/months.per.year</f>
        <v>0</v>
      </c>
      <c r="G745" s="282">
        <f>INDEX(prop.mobile.other.cost.by.segment,1,A740)*total.other.external.costs/months.per.year</f>
        <v>0</v>
      </c>
      <c r="H745" t="s">
        <v>170</v>
      </c>
      <c r="I745" s="106">
        <f>IF($I$742=0, 0, F745/$I$742)</f>
        <v>0</v>
      </c>
      <c r="J745" s="106">
        <f>IF($I$742=0, 0, G745/$I$742)</f>
        <v>0</v>
      </c>
    </row>
    <row r="746" spans="1:11" ht="12" outlineLevel="1">
      <c r="I746" s="138">
        <f>SUM(I744:I745)</f>
        <v>0</v>
      </c>
      <c r="J746" s="138">
        <f>SUM(J744:J745)</f>
        <v>0</v>
      </c>
      <c r="K746" s="43" t="s">
        <v>642</v>
      </c>
    </row>
    <row r="747" spans="1:11" outlineLevel="1">
      <c r="C747" s="91" t="s">
        <v>390</v>
      </c>
    </row>
    <row r="748" spans="1:11" ht="27.75" customHeight="1" outlineLevel="1">
      <c r="F748" s="95" t="s">
        <v>468</v>
      </c>
      <c r="G748" s="95" t="s">
        <v>440</v>
      </c>
    </row>
    <row r="749" spans="1:11" outlineLevel="1">
      <c r="C749" s="93" t="s">
        <v>391</v>
      </c>
      <c r="D749" t="s">
        <v>170</v>
      </c>
      <c r="F749" s="146">
        <f>SUMPRODUCT(subscription.split.segment.3,F750:F784)</f>
        <v>0</v>
      </c>
      <c r="G749" s="146">
        <f>SUMPRODUCT(subscription.split.segment.3,G750:G784)</f>
        <v>0</v>
      </c>
    </row>
    <row r="750" spans="1:11" outlineLevel="1">
      <c r="C750" s="73" t="str">
        <f t="array" ref="C750:C784">offers.segment.3</f>
        <v>SpareOfferC1</v>
      </c>
      <c r="D750" t="s">
        <v>170</v>
      </c>
      <c r="F750" s="222">
        <f t="shared" ref="F750:G784" si="82">INDEX(per.sub.revenues.by.revenues.descriptions,MATCH($C750,offers.segment.all,0),MATCH(F$748,revenue.descriptions.short,0))</f>
        <v>0</v>
      </c>
      <c r="G750" s="222">
        <f t="shared" si="82"/>
        <v>0</v>
      </c>
    </row>
    <row r="751" spans="1:11" hidden="1" outlineLevel="2">
      <c r="C751" s="73" t="str">
        <v>SpareOfferC2</v>
      </c>
      <c r="D751" t="s">
        <v>170</v>
      </c>
      <c r="F751" s="222">
        <f t="shared" si="82"/>
        <v>0</v>
      </c>
      <c r="G751" s="222">
        <f t="shared" si="82"/>
        <v>0</v>
      </c>
    </row>
    <row r="752" spans="1:11" hidden="1" outlineLevel="2">
      <c r="C752" s="73" t="str">
        <v>SpareOfferC3</v>
      </c>
      <c r="D752" t="s">
        <v>170</v>
      </c>
      <c r="F752" s="222">
        <f t="shared" si="82"/>
        <v>0</v>
      </c>
      <c r="G752" s="222">
        <f t="shared" si="82"/>
        <v>0</v>
      </c>
    </row>
    <row r="753" spans="3:7" hidden="1" outlineLevel="2">
      <c r="C753" s="73" t="str">
        <v>SpareOfferC4</v>
      </c>
      <c r="D753" t="s">
        <v>170</v>
      </c>
      <c r="F753" s="222">
        <f t="shared" si="82"/>
        <v>0</v>
      </c>
      <c r="G753" s="222">
        <f t="shared" si="82"/>
        <v>0</v>
      </c>
    </row>
    <row r="754" spans="3:7" hidden="1" outlineLevel="2">
      <c r="C754" s="73" t="str">
        <v>SpareOfferC5</v>
      </c>
      <c r="D754" t="s">
        <v>170</v>
      </c>
      <c r="F754" s="222">
        <f t="shared" si="82"/>
        <v>0</v>
      </c>
      <c r="G754" s="222">
        <f t="shared" si="82"/>
        <v>0</v>
      </c>
    </row>
    <row r="755" spans="3:7" hidden="1" outlineLevel="2">
      <c r="C755" s="73" t="str">
        <v>SpareOfferC6</v>
      </c>
      <c r="D755" t="s">
        <v>170</v>
      </c>
      <c r="F755" s="222">
        <f t="shared" si="82"/>
        <v>0</v>
      </c>
      <c r="G755" s="222">
        <f t="shared" si="82"/>
        <v>0</v>
      </c>
    </row>
    <row r="756" spans="3:7" hidden="1" outlineLevel="2">
      <c r="C756" s="73" t="str">
        <v>SpareOfferC7</v>
      </c>
      <c r="D756" t="s">
        <v>170</v>
      </c>
      <c r="F756" s="222">
        <f t="shared" si="82"/>
        <v>0</v>
      </c>
      <c r="G756" s="222">
        <f t="shared" si="82"/>
        <v>0</v>
      </c>
    </row>
    <row r="757" spans="3:7" hidden="1" outlineLevel="2">
      <c r="C757" s="73" t="str">
        <v>SpareOfferC8</v>
      </c>
      <c r="D757" t="s">
        <v>170</v>
      </c>
      <c r="F757" s="222">
        <f t="shared" si="82"/>
        <v>0</v>
      </c>
      <c r="G757" s="222">
        <f t="shared" si="82"/>
        <v>0</v>
      </c>
    </row>
    <row r="758" spans="3:7" hidden="1" outlineLevel="2">
      <c r="C758" s="73" t="str">
        <v>SpareOfferC9</v>
      </c>
      <c r="D758" t="s">
        <v>170</v>
      </c>
      <c r="F758" s="222">
        <f t="shared" si="82"/>
        <v>0</v>
      </c>
      <c r="G758" s="222">
        <f t="shared" si="82"/>
        <v>0</v>
      </c>
    </row>
    <row r="759" spans="3:7" hidden="1" outlineLevel="2">
      <c r="C759" s="73" t="str">
        <v>SpareOfferC10</v>
      </c>
      <c r="D759" t="s">
        <v>170</v>
      </c>
      <c r="F759" s="222">
        <f t="shared" si="82"/>
        <v>0</v>
      </c>
      <c r="G759" s="222">
        <f t="shared" si="82"/>
        <v>0</v>
      </c>
    </row>
    <row r="760" spans="3:7" hidden="1" outlineLevel="2">
      <c r="C760" s="73" t="str">
        <v>SpareOfferC11</v>
      </c>
      <c r="D760" t="s">
        <v>170</v>
      </c>
      <c r="F760" s="222">
        <f t="shared" si="82"/>
        <v>0</v>
      </c>
      <c r="G760" s="222">
        <f t="shared" si="82"/>
        <v>0</v>
      </c>
    </row>
    <row r="761" spans="3:7" hidden="1" outlineLevel="2">
      <c r="C761" s="73" t="str">
        <v>SpareOfferC12</v>
      </c>
      <c r="D761" t="s">
        <v>170</v>
      </c>
      <c r="F761" s="222">
        <f t="shared" si="82"/>
        <v>0</v>
      </c>
      <c r="G761" s="222">
        <f t="shared" si="82"/>
        <v>0</v>
      </c>
    </row>
    <row r="762" spans="3:7" hidden="1" outlineLevel="2">
      <c r="C762" s="73" t="str">
        <v>SpareOfferC13</v>
      </c>
      <c r="D762" t="s">
        <v>170</v>
      </c>
      <c r="F762" s="222">
        <f t="shared" si="82"/>
        <v>0</v>
      </c>
      <c r="G762" s="222">
        <f t="shared" si="82"/>
        <v>0</v>
      </c>
    </row>
    <row r="763" spans="3:7" hidden="1" outlineLevel="2">
      <c r="C763" s="73" t="str">
        <v>SpareOfferC14</v>
      </c>
      <c r="D763" t="s">
        <v>170</v>
      </c>
      <c r="F763" s="222">
        <f t="shared" si="82"/>
        <v>0</v>
      </c>
      <c r="G763" s="222">
        <f t="shared" si="82"/>
        <v>0</v>
      </c>
    </row>
    <row r="764" spans="3:7" hidden="1" outlineLevel="2">
      <c r="C764" s="73" t="str">
        <v>SpareOfferC15</v>
      </c>
      <c r="D764" t="s">
        <v>170</v>
      </c>
      <c r="F764" s="222">
        <f t="shared" si="82"/>
        <v>0</v>
      </c>
      <c r="G764" s="222">
        <f t="shared" si="82"/>
        <v>0</v>
      </c>
    </row>
    <row r="765" spans="3:7" hidden="1" outlineLevel="2">
      <c r="C765" s="73" t="str">
        <v>SpareOfferC16</v>
      </c>
      <c r="D765" t="s">
        <v>170</v>
      </c>
      <c r="F765" s="222">
        <f t="shared" si="82"/>
        <v>0</v>
      </c>
      <c r="G765" s="222">
        <f t="shared" si="82"/>
        <v>0</v>
      </c>
    </row>
    <row r="766" spans="3:7" hidden="1" outlineLevel="2">
      <c r="C766" s="73" t="str">
        <v>SpareOfferC17</v>
      </c>
      <c r="D766" t="s">
        <v>170</v>
      </c>
      <c r="F766" s="222">
        <f t="shared" si="82"/>
        <v>0</v>
      </c>
      <c r="G766" s="222">
        <f t="shared" si="82"/>
        <v>0</v>
      </c>
    </row>
    <row r="767" spans="3:7" hidden="1" outlineLevel="2">
      <c r="C767" s="73" t="str">
        <v>SpareOfferC18</v>
      </c>
      <c r="D767" t="s">
        <v>170</v>
      </c>
      <c r="F767" s="222">
        <f t="shared" si="82"/>
        <v>0</v>
      </c>
      <c r="G767" s="222">
        <f t="shared" si="82"/>
        <v>0</v>
      </c>
    </row>
    <row r="768" spans="3:7" hidden="1" outlineLevel="2">
      <c r="C768" s="73" t="str">
        <v>SpareOfferC19</v>
      </c>
      <c r="D768" t="s">
        <v>170</v>
      </c>
      <c r="F768" s="222">
        <f t="shared" si="82"/>
        <v>0</v>
      </c>
      <c r="G768" s="222">
        <f t="shared" si="82"/>
        <v>0</v>
      </c>
    </row>
    <row r="769" spans="3:7" hidden="1" outlineLevel="2">
      <c r="C769" s="73" t="str">
        <v>SpareOfferC20</v>
      </c>
      <c r="D769" t="s">
        <v>170</v>
      </c>
      <c r="F769" s="222">
        <f t="shared" si="82"/>
        <v>0</v>
      </c>
      <c r="G769" s="222">
        <f t="shared" si="82"/>
        <v>0</v>
      </c>
    </row>
    <row r="770" spans="3:7" hidden="1" outlineLevel="2">
      <c r="C770" s="73" t="str">
        <v>SpareOfferC21</v>
      </c>
      <c r="D770" t="s">
        <v>170</v>
      </c>
      <c r="F770" s="222">
        <f t="shared" si="82"/>
        <v>0</v>
      </c>
      <c r="G770" s="222">
        <f t="shared" si="82"/>
        <v>0</v>
      </c>
    </row>
    <row r="771" spans="3:7" hidden="1" outlineLevel="2">
      <c r="C771" s="73" t="str">
        <v>SpareOfferC22</v>
      </c>
      <c r="D771" t="s">
        <v>170</v>
      </c>
      <c r="F771" s="222">
        <f t="shared" si="82"/>
        <v>0</v>
      </c>
      <c r="G771" s="222">
        <f t="shared" si="82"/>
        <v>0</v>
      </c>
    </row>
    <row r="772" spans="3:7" hidden="1" outlineLevel="2">
      <c r="C772" s="73" t="str">
        <v>SpareOfferC23</v>
      </c>
      <c r="D772" t="s">
        <v>170</v>
      </c>
      <c r="F772" s="222">
        <f t="shared" si="82"/>
        <v>0</v>
      </c>
      <c r="G772" s="222">
        <f t="shared" si="82"/>
        <v>0</v>
      </c>
    </row>
    <row r="773" spans="3:7" hidden="1" outlineLevel="2">
      <c r="C773" s="73" t="str">
        <v>SpareOfferC24</v>
      </c>
      <c r="D773" t="s">
        <v>170</v>
      </c>
      <c r="F773" s="222">
        <f t="shared" si="82"/>
        <v>0</v>
      </c>
      <c r="G773" s="222">
        <f t="shared" si="82"/>
        <v>0</v>
      </c>
    </row>
    <row r="774" spans="3:7" hidden="1" outlineLevel="2">
      <c r="C774" s="73" t="str">
        <v>SpareOfferC25</v>
      </c>
      <c r="D774" t="s">
        <v>170</v>
      </c>
      <c r="F774" s="222">
        <f t="shared" si="82"/>
        <v>0</v>
      </c>
      <c r="G774" s="222">
        <f t="shared" si="82"/>
        <v>0</v>
      </c>
    </row>
    <row r="775" spans="3:7" hidden="1" outlineLevel="2">
      <c r="C775" s="73" t="str">
        <v>SpareOfferC26</v>
      </c>
      <c r="D775" t="s">
        <v>170</v>
      </c>
      <c r="F775" s="222">
        <f t="shared" si="82"/>
        <v>0</v>
      </c>
      <c r="G775" s="222">
        <f t="shared" si="82"/>
        <v>0</v>
      </c>
    </row>
    <row r="776" spans="3:7" hidden="1" outlineLevel="2">
      <c r="C776" s="73" t="str">
        <v>SpareOfferC27</v>
      </c>
      <c r="D776" t="s">
        <v>170</v>
      </c>
      <c r="F776" s="222">
        <f t="shared" si="82"/>
        <v>0</v>
      </c>
      <c r="G776" s="222">
        <f t="shared" si="82"/>
        <v>0</v>
      </c>
    </row>
    <row r="777" spans="3:7" hidden="1" outlineLevel="2">
      <c r="C777" s="73" t="str">
        <v>SpareOfferC28</v>
      </c>
      <c r="D777" t="s">
        <v>170</v>
      </c>
      <c r="F777" s="222">
        <f t="shared" si="82"/>
        <v>0</v>
      </c>
      <c r="G777" s="222">
        <f t="shared" si="82"/>
        <v>0</v>
      </c>
    </row>
    <row r="778" spans="3:7" hidden="1" outlineLevel="2">
      <c r="C778" s="73" t="str">
        <v>SpareOfferC29</v>
      </c>
      <c r="D778" t="s">
        <v>170</v>
      </c>
      <c r="F778" s="222">
        <f t="shared" si="82"/>
        <v>0</v>
      </c>
      <c r="G778" s="222">
        <f t="shared" si="82"/>
        <v>0</v>
      </c>
    </row>
    <row r="779" spans="3:7" hidden="1" outlineLevel="2">
      <c r="C779" s="73" t="str">
        <v>SpareOfferC30</v>
      </c>
      <c r="D779" t="s">
        <v>170</v>
      </c>
      <c r="F779" s="222">
        <f t="shared" si="82"/>
        <v>0</v>
      </c>
      <c r="G779" s="222">
        <f t="shared" si="82"/>
        <v>0</v>
      </c>
    </row>
    <row r="780" spans="3:7" hidden="1" outlineLevel="2">
      <c r="C780" s="73" t="str">
        <v>SpareOfferC31</v>
      </c>
      <c r="D780" t="s">
        <v>170</v>
      </c>
      <c r="F780" s="222">
        <f t="shared" si="82"/>
        <v>0</v>
      </c>
      <c r="G780" s="222">
        <f t="shared" si="82"/>
        <v>0</v>
      </c>
    </row>
    <row r="781" spans="3:7" hidden="1" outlineLevel="2">
      <c r="C781" s="73" t="str">
        <v>SpareOfferC32</v>
      </c>
      <c r="D781" t="s">
        <v>170</v>
      </c>
      <c r="F781" s="222">
        <f t="shared" si="82"/>
        <v>0</v>
      </c>
      <c r="G781" s="222">
        <f t="shared" si="82"/>
        <v>0</v>
      </c>
    </row>
    <row r="782" spans="3:7" hidden="1" outlineLevel="2">
      <c r="C782" s="73" t="str">
        <v>SpareOfferC33</v>
      </c>
      <c r="D782" t="s">
        <v>170</v>
      </c>
      <c r="F782" s="222">
        <f t="shared" si="82"/>
        <v>0</v>
      </c>
      <c r="G782" s="222">
        <f t="shared" si="82"/>
        <v>0</v>
      </c>
    </row>
    <row r="783" spans="3:7" hidden="1" outlineLevel="2">
      <c r="C783" s="73" t="str">
        <v>SpareOfferC34</v>
      </c>
      <c r="D783" t="s">
        <v>170</v>
      </c>
      <c r="F783" s="222">
        <f t="shared" si="82"/>
        <v>0</v>
      </c>
      <c r="G783" s="222">
        <f t="shared" si="82"/>
        <v>0</v>
      </c>
    </row>
    <row r="784" spans="3:7" outlineLevel="1" collapsed="1">
      <c r="C784" s="73" t="str">
        <v>SpareOfferC35</v>
      </c>
      <c r="D784" t="s">
        <v>170</v>
      </c>
      <c r="F784" s="222">
        <f t="shared" si="82"/>
        <v>0</v>
      </c>
      <c r="G784" s="222">
        <f t="shared" si="82"/>
        <v>0</v>
      </c>
    </row>
    <row r="785" spans="1:11" outlineLevel="1"/>
    <row r="786" spans="1:11" s="220" customFormat="1">
      <c r="A786" s="220">
        <v>4</v>
      </c>
      <c r="B786" s="221" t="str">
        <f>INDEX(segments,A786)</f>
        <v>SpareSegmentD</v>
      </c>
      <c r="C786" s="207"/>
    </row>
    <row r="787" spans="1:11" outlineLevel="1"/>
    <row r="788" spans="1:11" outlineLevel="1">
      <c r="I788" s="267">
        <f>telenor.retail.segment.4.subscribers/million</f>
        <v>0</v>
      </c>
      <c r="J788" s="25" t="s">
        <v>117</v>
      </c>
    </row>
    <row r="789" spans="1:11" ht="23" outlineLevel="1">
      <c r="C789" s="91" t="s">
        <v>389</v>
      </c>
      <c r="F789" s="115" t="s">
        <v>369</v>
      </c>
      <c r="G789" s="115" t="s">
        <v>639</v>
      </c>
      <c r="I789" s="1" t="s">
        <v>368</v>
      </c>
      <c r="J789" s="1" t="s">
        <v>634</v>
      </c>
    </row>
    <row r="790" spans="1:11" outlineLevel="1">
      <c r="C790" t="s">
        <v>200</v>
      </c>
      <c r="D790" t="s">
        <v>220</v>
      </c>
      <c r="F790" s="231">
        <f>INDEX(prop.mobile.handset.revenue.by.segment,1,A786)*total.mobile.handsets.revenues/months.per.year</f>
        <v>0</v>
      </c>
      <c r="G790" s="282">
        <f>INDEX(prop.mobile.handset.cost.by.segment,1,A786)*total.mobile.handsets.external.costs/months.per.year</f>
        <v>0</v>
      </c>
      <c r="H790" t="s">
        <v>170</v>
      </c>
      <c r="I790" s="106">
        <f>IF($I$788=0, 0, F790/$I$788)</f>
        <v>0</v>
      </c>
      <c r="J790" s="106">
        <f>IF($I$788=0, 0, G790/$I$788)</f>
        <v>0</v>
      </c>
    </row>
    <row r="791" spans="1:11" outlineLevel="1">
      <c r="C791" t="s">
        <v>647</v>
      </c>
      <c r="D791" t="s">
        <v>220</v>
      </c>
      <c r="F791" s="266">
        <f>INDEX(prop.mobile.other.revenue.by.segment,1,A786)*total.other.additional.revenues/months.per.year</f>
        <v>0</v>
      </c>
      <c r="G791" s="282">
        <f>INDEX(prop.mobile.other.cost.by.segment,1,A786)*total.other.external.costs/months.per.year</f>
        <v>0</v>
      </c>
      <c r="H791" t="s">
        <v>170</v>
      </c>
      <c r="I791" s="106">
        <f>IF($I$788=0, 0, F791/$I$788)</f>
        <v>0</v>
      </c>
      <c r="J791" s="106">
        <f>IF($I$788=0, 0, G791/$I$788)</f>
        <v>0</v>
      </c>
    </row>
    <row r="792" spans="1:11" ht="12" outlineLevel="1">
      <c r="I792" s="138">
        <f>SUM(I790:I791)</f>
        <v>0</v>
      </c>
      <c r="J792" s="138">
        <f>SUM(J790:J791)</f>
        <v>0</v>
      </c>
      <c r="K792" s="43" t="s">
        <v>643</v>
      </c>
    </row>
    <row r="793" spans="1:11" outlineLevel="1">
      <c r="C793" s="91" t="s">
        <v>390</v>
      </c>
    </row>
    <row r="794" spans="1:11" ht="27.75" customHeight="1" outlineLevel="1">
      <c r="F794" s="95" t="s">
        <v>468</v>
      </c>
      <c r="G794" s="95" t="s">
        <v>440</v>
      </c>
    </row>
    <row r="795" spans="1:11" outlineLevel="1">
      <c r="C795" s="93" t="s">
        <v>391</v>
      </c>
      <c r="D795" t="s">
        <v>170</v>
      </c>
      <c r="F795" s="146">
        <f>SUMPRODUCT(subscription.split.segment.4,F796:F830)</f>
        <v>0</v>
      </c>
      <c r="G795" s="146">
        <f>SUMPRODUCT(subscription.split.segment.4,G796:G830)</f>
        <v>0</v>
      </c>
    </row>
    <row r="796" spans="1:11" outlineLevel="1">
      <c r="C796" s="73" t="str">
        <f t="array" ref="C796:C830">offers.segment.4</f>
        <v>SpareOfferD1</v>
      </c>
      <c r="D796" t="s">
        <v>170</v>
      </c>
      <c r="F796" s="222">
        <f t="shared" ref="F796:G830" si="83">INDEX(per.sub.revenues.by.revenues.descriptions,MATCH($C796,offers.segment.all,0),MATCH(F$794,revenue.descriptions.short,0))</f>
        <v>0</v>
      </c>
      <c r="G796" s="222">
        <f t="shared" si="83"/>
        <v>0</v>
      </c>
    </row>
    <row r="797" spans="1:11" hidden="1" outlineLevel="2">
      <c r="C797" s="73" t="str">
        <v>SpareOfferD2</v>
      </c>
      <c r="D797" t="s">
        <v>170</v>
      </c>
      <c r="F797" s="222">
        <f t="shared" si="83"/>
        <v>0</v>
      </c>
      <c r="G797" s="222">
        <f t="shared" si="83"/>
        <v>0</v>
      </c>
    </row>
    <row r="798" spans="1:11" hidden="1" outlineLevel="2">
      <c r="C798" s="73" t="str">
        <v>SpareOfferD3</v>
      </c>
      <c r="D798" t="s">
        <v>170</v>
      </c>
      <c r="F798" s="222">
        <f t="shared" si="83"/>
        <v>0</v>
      </c>
      <c r="G798" s="222">
        <f t="shared" si="83"/>
        <v>0</v>
      </c>
    </row>
    <row r="799" spans="1:11" hidden="1" outlineLevel="2">
      <c r="C799" s="73" t="str">
        <v>SpareOfferD4</v>
      </c>
      <c r="D799" t="s">
        <v>170</v>
      </c>
      <c r="F799" s="222">
        <f t="shared" si="83"/>
        <v>0</v>
      </c>
      <c r="G799" s="222">
        <f t="shared" si="83"/>
        <v>0</v>
      </c>
    </row>
    <row r="800" spans="1:11" hidden="1" outlineLevel="2">
      <c r="C800" s="73" t="str">
        <v>SpareOfferD5</v>
      </c>
      <c r="D800" t="s">
        <v>170</v>
      </c>
      <c r="F800" s="222">
        <f t="shared" si="83"/>
        <v>0</v>
      </c>
      <c r="G800" s="222">
        <f t="shared" si="83"/>
        <v>0</v>
      </c>
    </row>
    <row r="801" spans="3:7" hidden="1" outlineLevel="2">
      <c r="C801" s="73" t="str">
        <v>SpareOfferD6</v>
      </c>
      <c r="D801" t="s">
        <v>170</v>
      </c>
      <c r="F801" s="222">
        <f t="shared" si="83"/>
        <v>0</v>
      </c>
      <c r="G801" s="222">
        <f t="shared" si="83"/>
        <v>0</v>
      </c>
    </row>
    <row r="802" spans="3:7" hidden="1" outlineLevel="2">
      <c r="C802" s="73" t="str">
        <v>SpareOfferD7</v>
      </c>
      <c r="D802" t="s">
        <v>170</v>
      </c>
      <c r="F802" s="222">
        <f t="shared" si="83"/>
        <v>0</v>
      </c>
      <c r="G802" s="222">
        <f t="shared" si="83"/>
        <v>0</v>
      </c>
    </row>
    <row r="803" spans="3:7" hidden="1" outlineLevel="2">
      <c r="C803" s="73" t="str">
        <v>SpareOfferD8</v>
      </c>
      <c r="D803" t="s">
        <v>170</v>
      </c>
      <c r="F803" s="222">
        <f t="shared" si="83"/>
        <v>0</v>
      </c>
      <c r="G803" s="222">
        <f t="shared" si="83"/>
        <v>0</v>
      </c>
    </row>
    <row r="804" spans="3:7" hidden="1" outlineLevel="2">
      <c r="C804" s="73" t="str">
        <v>SpareOfferD9</v>
      </c>
      <c r="D804" t="s">
        <v>170</v>
      </c>
      <c r="F804" s="222">
        <f t="shared" si="83"/>
        <v>0</v>
      </c>
      <c r="G804" s="222">
        <f t="shared" si="83"/>
        <v>0</v>
      </c>
    </row>
    <row r="805" spans="3:7" hidden="1" outlineLevel="2">
      <c r="C805" s="73" t="str">
        <v>SpareOfferD10</v>
      </c>
      <c r="D805" t="s">
        <v>170</v>
      </c>
      <c r="F805" s="222">
        <f t="shared" si="83"/>
        <v>0</v>
      </c>
      <c r="G805" s="222">
        <f t="shared" si="83"/>
        <v>0</v>
      </c>
    </row>
    <row r="806" spans="3:7" hidden="1" outlineLevel="2">
      <c r="C806" s="73" t="str">
        <v>SpareOfferD11</v>
      </c>
      <c r="D806" t="s">
        <v>170</v>
      </c>
      <c r="F806" s="222">
        <f t="shared" si="83"/>
        <v>0</v>
      </c>
      <c r="G806" s="222">
        <f t="shared" si="83"/>
        <v>0</v>
      </c>
    </row>
    <row r="807" spans="3:7" hidden="1" outlineLevel="2">
      <c r="C807" s="73" t="str">
        <v>SpareOfferD12</v>
      </c>
      <c r="D807" t="s">
        <v>170</v>
      </c>
      <c r="F807" s="222">
        <f t="shared" si="83"/>
        <v>0</v>
      </c>
      <c r="G807" s="222">
        <f t="shared" si="83"/>
        <v>0</v>
      </c>
    </row>
    <row r="808" spans="3:7" hidden="1" outlineLevel="2">
      <c r="C808" s="73" t="str">
        <v>SpareOfferD13</v>
      </c>
      <c r="D808" t="s">
        <v>170</v>
      </c>
      <c r="F808" s="222">
        <f t="shared" si="83"/>
        <v>0</v>
      </c>
      <c r="G808" s="222">
        <f t="shared" si="83"/>
        <v>0</v>
      </c>
    </row>
    <row r="809" spans="3:7" hidden="1" outlineLevel="2">
      <c r="C809" s="73" t="str">
        <v>SpareOfferD14</v>
      </c>
      <c r="D809" t="s">
        <v>170</v>
      </c>
      <c r="F809" s="222">
        <f t="shared" si="83"/>
        <v>0</v>
      </c>
      <c r="G809" s="222">
        <f t="shared" si="83"/>
        <v>0</v>
      </c>
    </row>
    <row r="810" spans="3:7" hidden="1" outlineLevel="2">
      <c r="C810" s="73" t="str">
        <v>SpareOfferD15</v>
      </c>
      <c r="D810" t="s">
        <v>170</v>
      </c>
      <c r="F810" s="222">
        <f t="shared" si="83"/>
        <v>0</v>
      </c>
      <c r="G810" s="222">
        <f t="shared" si="83"/>
        <v>0</v>
      </c>
    </row>
    <row r="811" spans="3:7" hidden="1" outlineLevel="2">
      <c r="C811" s="73" t="str">
        <v>SpareOfferD16</v>
      </c>
      <c r="D811" t="s">
        <v>170</v>
      </c>
      <c r="F811" s="222">
        <f t="shared" si="83"/>
        <v>0</v>
      </c>
      <c r="G811" s="222">
        <f t="shared" si="83"/>
        <v>0</v>
      </c>
    </row>
    <row r="812" spans="3:7" hidden="1" outlineLevel="2">
      <c r="C812" s="73" t="str">
        <v>SpareOfferD17</v>
      </c>
      <c r="D812" t="s">
        <v>170</v>
      </c>
      <c r="F812" s="222">
        <f t="shared" si="83"/>
        <v>0</v>
      </c>
      <c r="G812" s="222">
        <f t="shared" si="83"/>
        <v>0</v>
      </c>
    </row>
    <row r="813" spans="3:7" hidden="1" outlineLevel="2">
      <c r="C813" s="73" t="str">
        <v>SpareOfferD18</v>
      </c>
      <c r="D813" t="s">
        <v>170</v>
      </c>
      <c r="F813" s="222">
        <f t="shared" si="83"/>
        <v>0</v>
      </c>
      <c r="G813" s="222">
        <f t="shared" si="83"/>
        <v>0</v>
      </c>
    </row>
    <row r="814" spans="3:7" hidden="1" outlineLevel="2">
      <c r="C814" s="73" t="str">
        <v>SpareOfferD19</v>
      </c>
      <c r="D814" t="s">
        <v>170</v>
      </c>
      <c r="F814" s="222">
        <f t="shared" si="83"/>
        <v>0</v>
      </c>
      <c r="G814" s="222">
        <f t="shared" si="83"/>
        <v>0</v>
      </c>
    </row>
    <row r="815" spans="3:7" hidden="1" outlineLevel="2">
      <c r="C815" s="73" t="str">
        <v>SpareOfferD20</v>
      </c>
      <c r="D815" t="s">
        <v>170</v>
      </c>
      <c r="F815" s="222">
        <f t="shared" si="83"/>
        <v>0</v>
      </c>
      <c r="G815" s="222">
        <f t="shared" si="83"/>
        <v>0</v>
      </c>
    </row>
    <row r="816" spans="3:7" hidden="1" outlineLevel="2">
      <c r="C816" s="73" t="str">
        <v>SpareOfferD21</v>
      </c>
      <c r="D816" t="s">
        <v>170</v>
      </c>
      <c r="F816" s="222">
        <f t="shared" si="83"/>
        <v>0</v>
      </c>
      <c r="G816" s="222">
        <f t="shared" si="83"/>
        <v>0</v>
      </c>
    </row>
    <row r="817" spans="3:7" hidden="1" outlineLevel="2">
      <c r="C817" s="73" t="str">
        <v>SpareOfferD22</v>
      </c>
      <c r="D817" t="s">
        <v>170</v>
      </c>
      <c r="F817" s="222">
        <f t="shared" si="83"/>
        <v>0</v>
      </c>
      <c r="G817" s="222">
        <f t="shared" si="83"/>
        <v>0</v>
      </c>
    </row>
    <row r="818" spans="3:7" hidden="1" outlineLevel="2">
      <c r="C818" s="73" t="str">
        <v>SpareOfferD23</v>
      </c>
      <c r="D818" t="s">
        <v>170</v>
      </c>
      <c r="F818" s="222">
        <f t="shared" si="83"/>
        <v>0</v>
      </c>
      <c r="G818" s="222">
        <f t="shared" si="83"/>
        <v>0</v>
      </c>
    </row>
    <row r="819" spans="3:7" hidden="1" outlineLevel="2">
      <c r="C819" s="73" t="str">
        <v>SpareOfferD24</v>
      </c>
      <c r="D819" t="s">
        <v>170</v>
      </c>
      <c r="F819" s="222">
        <f t="shared" si="83"/>
        <v>0</v>
      </c>
      <c r="G819" s="222">
        <f t="shared" si="83"/>
        <v>0</v>
      </c>
    </row>
    <row r="820" spans="3:7" hidden="1" outlineLevel="2">
      <c r="C820" s="73" t="str">
        <v>SpareOfferD25</v>
      </c>
      <c r="D820" t="s">
        <v>170</v>
      </c>
      <c r="F820" s="222">
        <f t="shared" si="83"/>
        <v>0</v>
      </c>
      <c r="G820" s="222">
        <f t="shared" si="83"/>
        <v>0</v>
      </c>
    </row>
    <row r="821" spans="3:7" hidden="1" outlineLevel="2">
      <c r="C821" s="73" t="str">
        <v>SpareOfferD26</v>
      </c>
      <c r="D821" t="s">
        <v>170</v>
      </c>
      <c r="F821" s="222">
        <f t="shared" si="83"/>
        <v>0</v>
      </c>
      <c r="G821" s="222">
        <f t="shared" si="83"/>
        <v>0</v>
      </c>
    </row>
    <row r="822" spans="3:7" hidden="1" outlineLevel="2">
      <c r="C822" s="73" t="str">
        <v>SpareOfferD27</v>
      </c>
      <c r="D822" t="s">
        <v>170</v>
      </c>
      <c r="F822" s="222">
        <f t="shared" si="83"/>
        <v>0</v>
      </c>
      <c r="G822" s="222">
        <f t="shared" si="83"/>
        <v>0</v>
      </c>
    </row>
    <row r="823" spans="3:7" hidden="1" outlineLevel="2">
      <c r="C823" s="73" t="str">
        <v>SpareOfferD28</v>
      </c>
      <c r="D823" t="s">
        <v>170</v>
      </c>
      <c r="F823" s="222">
        <f t="shared" si="83"/>
        <v>0</v>
      </c>
      <c r="G823" s="222">
        <f t="shared" si="83"/>
        <v>0</v>
      </c>
    </row>
    <row r="824" spans="3:7" hidden="1" outlineLevel="2">
      <c r="C824" s="73" t="str">
        <v>SpareOfferD29</v>
      </c>
      <c r="D824" t="s">
        <v>170</v>
      </c>
      <c r="F824" s="222">
        <f t="shared" si="83"/>
        <v>0</v>
      </c>
      <c r="G824" s="222">
        <f t="shared" si="83"/>
        <v>0</v>
      </c>
    </row>
    <row r="825" spans="3:7" hidden="1" outlineLevel="2">
      <c r="C825" s="73" t="str">
        <v>SpareOfferD30</v>
      </c>
      <c r="D825" t="s">
        <v>170</v>
      </c>
      <c r="F825" s="222">
        <f t="shared" si="83"/>
        <v>0</v>
      </c>
      <c r="G825" s="222">
        <f t="shared" si="83"/>
        <v>0</v>
      </c>
    </row>
    <row r="826" spans="3:7" hidden="1" outlineLevel="2">
      <c r="C826" s="73" t="str">
        <v>SpareOfferD31</v>
      </c>
      <c r="D826" t="s">
        <v>170</v>
      </c>
      <c r="F826" s="222">
        <f t="shared" si="83"/>
        <v>0</v>
      </c>
      <c r="G826" s="222">
        <f t="shared" si="83"/>
        <v>0</v>
      </c>
    </row>
    <row r="827" spans="3:7" hidden="1" outlineLevel="2">
      <c r="C827" s="73" t="str">
        <v>SpareOfferD32</v>
      </c>
      <c r="D827" t="s">
        <v>170</v>
      </c>
      <c r="F827" s="222">
        <f t="shared" si="83"/>
        <v>0</v>
      </c>
      <c r="G827" s="222">
        <f t="shared" si="83"/>
        <v>0</v>
      </c>
    </row>
    <row r="828" spans="3:7" hidden="1" outlineLevel="2">
      <c r="C828" s="73" t="str">
        <v>SpareOfferD33</v>
      </c>
      <c r="D828" t="s">
        <v>170</v>
      </c>
      <c r="F828" s="222">
        <f t="shared" si="83"/>
        <v>0</v>
      </c>
      <c r="G828" s="222">
        <f t="shared" si="83"/>
        <v>0</v>
      </c>
    </row>
    <row r="829" spans="3:7" hidden="1" outlineLevel="2">
      <c r="C829" s="73" t="str">
        <v>SpareOfferD34</v>
      </c>
      <c r="D829" t="s">
        <v>170</v>
      </c>
      <c r="F829" s="222">
        <f t="shared" si="83"/>
        <v>0</v>
      </c>
      <c r="G829" s="222">
        <f t="shared" si="83"/>
        <v>0</v>
      </c>
    </row>
    <row r="830" spans="3:7" outlineLevel="1" collapsed="1">
      <c r="C830" s="73" t="str">
        <v>-</v>
      </c>
      <c r="D830" t="s">
        <v>170</v>
      </c>
      <c r="F830" s="222">
        <f t="shared" si="83"/>
        <v>0</v>
      </c>
      <c r="G830" s="222">
        <f t="shared" si="83"/>
        <v>0</v>
      </c>
    </row>
    <row r="831" spans="3:7" outlineLevel="1"/>
  </sheetData>
  <dataValidations disablePrompts="1" count="1">
    <dataValidation type="list" allowBlank="1" showInputMessage="1" showErrorMessage="1" sqref="F656:G656 F702:G702 F748:G748 F794:G794" xr:uid="{00000000-0002-0000-0B00-000000000000}">
      <formula1>revenue.descriptions.short</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pageSetUpPr autoPageBreaks="0"/>
  </sheetPr>
  <dimension ref="A1:M350"/>
  <sheetViews>
    <sheetView showGridLines="0" tabSelected="1" defaultGridColor="0" colorId="22" zoomScaleNormal="100" workbookViewId="0">
      <pane xSplit="4" ySplit="2" topLeftCell="E82" activePane="bottomRight" state="frozen"/>
      <selection pane="topRight"/>
      <selection pane="bottomLeft"/>
      <selection pane="bottomRight"/>
    </sheetView>
  </sheetViews>
  <sheetFormatPr baseColWidth="10" defaultColWidth="12.69921875" defaultRowHeight="11.5" outlineLevelRow="2"/>
  <cols>
    <col min="1" max="1" width="6.69921875" customWidth="1"/>
    <col min="2" max="2" width="6.19921875" customWidth="1"/>
    <col min="3" max="3" width="25.09765625" customWidth="1"/>
    <col min="4" max="4" width="19" customWidth="1"/>
    <col min="5" max="5" width="3.69921875" customWidth="1"/>
    <col min="6" max="6" width="17.3984375" customWidth="1"/>
    <col min="8" max="8" width="14" customWidth="1"/>
  </cols>
  <sheetData>
    <row r="1" spans="1:7" s="84" customFormat="1" ht="33.75" customHeight="1">
      <c r="E1" s="84" t="s">
        <v>361</v>
      </c>
    </row>
    <row r="2" spans="1:7">
      <c r="D2" s="91" t="s">
        <v>167</v>
      </c>
    </row>
    <row r="4" spans="1:7" ht="15.5">
      <c r="A4" s="36" t="s">
        <v>362</v>
      </c>
    </row>
    <row r="5" spans="1:7" ht="12">
      <c r="C5" s="91" t="s">
        <v>333</v>
      </c>
      <c r="D5" t="s">
        <v>218</v>
      </c>
      <c r="F5" s="146">
        <f>F295-F349</f>
        <v>0</v>
      </c>
      <c r="G5" s="43" t="s">
        <v>363</v>
      </c>
    </row>
    <row r="6" spans="1:7" ht="12">
      <c r="C6" s="208" t="str">
        <f t="array" ref="C6:C9">segments</f>
        <v>Residential</v>
      </c>
      <c r="D6" t="s">
        <v>218</v>
      </c>
      <c r="F6" s="180">
        <f>F25-F79</f>
        <v>0</v>
      </c>
      <c r="G6" s="43" t="s">
        <v>364</v>
      </c>
    </row>
    <row r="7" spans="1:7" ht="12">
      <c r="C7" s="208" t="str">
        <v>Business</v>
      </c>
      <c r="D7" t="s">
        <v>218</v>
      </c>
      <c r="F7" s="180">
        <f>F93-F147</f>
        <v>0</v>
      </c>
      <c r="G7" s="43" t="s">
        <v>365</v>
      </c>
    </row>
    <row r="8" spans="1:7" ht="12">
      <c r="C8" s="208" t="str">
        <v>SpareSegmentC</v>
      </c>
      <c r="D8" t="s">
        <v>218</v>
      </c>
      <c r="F8" s="177">
        <f>F161-F215</f>
        <v>0</v>
      </c>
      <c r="G8" s="43" t="s">
        <v>366</v>
      </c>
    </row>
    <row r="9" spans="1:7" ht="12">
      <c r="C9" s="208" t="str">
        <v>SpareSegmentD</v>
      </c>
      <c r="D9" t="s">
        <v>218</v>
      </c>
      <c r="F9" s="177">
        <f>F229-F283</f>
        <v>0</v>
      </c>
      <c r="G9" s="43" t="s">
        <v>367</v>
      </c>
    </row>
    <row r="11" spans="1:7" ht="15.5">
      <c r="A11" s="36" t="s">
        <v>343</v>
      </c>
    </row>
    <row r="13" spans="1:7" s="220" customFormat="1">
      <c r="A13" s="220">
        <v>1</v>
      </c>
      <c r="B13" s="221" t="str">
        <f>INDEX(segments,A13)</f>
        <v>Residential</v>
      </c>
      <c r="C13" s="207"/>
    </row>
    <row r="14" spans="1:7" outlineLevel="1"/>
    <row r="15" spans="1:7" outlineLevel="1">
      <c r="B15" s="35" t="s">
        <v>311</v>
      </c>
    </row>
    <row r="16" spans="1:7" outlineLevel="1"/>
    <row r="17" spans="2:13" outlineLevel="1">
      <c r="C17" t="s">
        <v>117</v>
      </c>
      <c r="F17" s="137">
        <f>retail.number.subscribers.test.segment1</f>
        <v>130523.25</v>
      </c>
    </row>
    <row r="18" spans="2:13" outlineLevel="1"/>
    <row r="19" spans="2:13" outlineLevel="1"/>
    <row r="20" spans="2:13" ht="34.5" outlineLevel="1">
      <c r="F20" s="121" t="s">
        <v>89</v>
      </c>
      <c r="H20" s="121" t="s">
        <v>287</v>
      </c>
      <c r="I20" s="121" t="s">
        <v>286</v>
      </c>
      <c r="J20" s="121" t="s">
        <v>178</v>
      </c>
      <c r="K20" s="121" t="s">
        <v>291</v>
      </c>
      <c r="L20" s="121" t="s">
        <v>181</v>
      </c>
      <c r="M20" s="121" t="s">
        <v>289</v>
      </c>
    </row>
    <row r="21" spans="2:13" outlineLevel="1"/>
    <row r="22" spans="2:13" outlineLevel="1">
      <c r="C22" t="s">
        <v>344</v>
      </c>
      <c r="D22" t="s">
        <v>347</v>
      </c>
      <c r="H22" s="137">
        <f t="array" ref="H22:M22">WS.access.fees</f>
        <v>0</v>
      </c>
      <c r="I22" s="137">
        <v>0</v>
      </c>
      <c r="J22" s="137">
        <v>0</v>
      </c>
      <c r="K22" s="137">
        <v>0</v>
      </c>
      <c r="L22" s="137">
        <v>0</v>
      </c>
      <c r="M22" s="137">
        <v>0</v>
      </c>
    </row>
    <row r="23" spans="2:13" outlineLevel="1">
      <c r="C23" t="s">
        <v>345</v>
      </c>
      <c r="I23" s="135">
        <f>IF(F17=0, 0, 1)</f>
        <v>1</v>
      </c>
      <c r="K23" s="129">
        <f>IF(F17&gt;H22, 1, 0)</f>
        <v>1</v>
      </c>
      <c r="L23" s="135">
        <f>IF(F17=0, 0, 1)</f>
        <v>1</v>
      </c>
    </row>
    <row r="24" spans="2:13" outlineLevel="1">
      <c r="C24" t="s">
        <v>346</v>
      </c>
      <c r="D24" t="s">
        <v>288</v>
      </c>
      <c r="F24" s="129">
        <f>SUM(H24:M24)</f>
        <v>0</v>
      </c>
      <c r="I24" s="129">
        <f>I22*I23</f>
        <v>0</v>
      </c>
      <c r="K24" s="129">
        <f>K22*K23</f>
        <v>0</v>
      </c>
      <c r="L24" s="129">
        <f>IF(M22=0, 0, L22*L23/M22)</f>
        <v>0</v>
      </c>
    </row>
    <row r="25" spans="2:13" outlineLevel="1">
      <c r="C25" t="s">
        <v>348</v>
      </c>
      <c r="D25" t="s">
        <v>288</v>
      </c>
      <c r="F25" s="157">
        <f>IF(F17=0, 0, F24/F17)</f>
        <v>0</v>
      </c>
    </row>
    <row r="26" spans="2:13" outlineLevel="1"/>
    <row r="27" spans="2:13" outlineLevel="1">
      <c r="B27" s="91" t="s">
        <v>275</v>
      </c>
    </row>
    <row r="28" spans="2:13" outlineLevel="1"/>
    <row r="29" spans="2:13" outlineLevel="1">
      <c r="C29" t="s">
        <v>117</v>
      </c>
      <c r="D29" t="s">
        <v>205</v>
      </c>
      <c r="F29" s="137">
        <f>retail.number.subscribers.test.segment1</f>
        <v>130523.25</v>
      </c>
    </row>
    <row r="30" spans="2:13" outlineLevel="1">
      <c r="C30" t="s">
        <v>349</v>
      </c>
      <c r="D30" t="s">
        <v>350</v>
      </c>
      <c r="F30" s="159">
        <f>(SUMPRODUCT(out.min.per.month.segment.1, subscription.split.segment.1)+SUMPRODUCT(in.min.per.month.segment.1, subscription.split.segment.1))*F29/million</f>
        <v>0</v>
      </c>
    </row>
    <row r="31" spans="2:13" outlineLevel="1">
      <c r="F31" s="159"/>
    </row>
    <row r="32" spans="2:13" outlineLevel="1">
      <c r="C32" t="s">
        <v>351</v>
      </c>
      <c r="D32" t="s">
        <v>288</v>
      </c>
      <c r="F32" s="129">
        <f>F33+F34</f>
        <v>0</v>
      </c>
    </row>
    <row r="33" spans="3:12" outlineLevel="1">
      <c r="C33" t="s">
        <v>352</v>
      </c>
      <c r="D33" t="s">
        <v>288</v>
      </c>
      <c r="F33" s="123">
        <f>F24</f>
        <v>0</v>
      </c>
    </row>
    <row r="34" spans="3:12" outlineLevel="1">
      <c r="C34" t="s">
        <v>353</v>
      </c>
      <c r="D34" t="s">
        <v>288</v>
      </c>
      <c r="F34" s="269">
        <f>IF(wholesale.offer.type.selected=lbl.SP,(output.wholesale.costs.segment.1+output.interconnection.costs.segment.1)*F29,output.wholesale.costs.segment.1*F29)</f>
        <v>0</v>
      </c>
    </row>
    <row r="35" spans="3:12" outlineLevel="1"/>
    <row r="36" spans="3:12" outlineLevel="1">
      <c r="C36" t="s">
        <v>358</v>
      </c>
      <c r="D36" t="s">
        <v>288</v>
      </c>
      <c r="E36" s="91"/>
      <c r="F36" s="163">
        <f>SUM(L39:L77)</f>
        <v>0</v>
      </c>
    </row>
    <row r="37" spans="3:12" outlineLevel="1"/>
    <row r="38" spans="3:12" ht="23" outlineLevel="1">
      <c r="H38" s="109" t="s">
        <v>185</v>
      </c>
      <c r="I38" s="109" t="s">
        <v>186</v>
      </c>
      <c r="J38" s="1" t="s">
        <v>355</v>
      </c>
      <c r="K38" s="1" t="s">
        <v>356</v>
      </c>
      <c r="L38" s="1" t="s">
        <v>357</v>
      </c>
    </row>
    <row r="39" spans="3:12" outlineLevel="1">
      <c r="H39" s="88">
        <f t="array" ref="H39:H77">discount.rebate</f>
        <v>0</v>
      </c>
      <c r="I39" s="137">
        <f t="array" ref="I39:I77">discount.turnover.interval</f>
        <v>0</v>
      </c>
      <c r="J39" s="269">
        <f>MIN(I39, F32)</f>
        <v>0</v>
      </c>
      <c r="K39" s="122">
        <f>F32-J39</f>
        <v>0</v>
      </c>
      <c r="L39" s="158">
        <f>J39*H39</f>
        <v>0</v>
      </c>
    </row>
    <row r="40" spans="3:12" hidden="1" outlineLevel="2">
      <c r="H40" s="88">
        <v>0</v>
      </c>
      <c r="I40" s="137">
        <v>0</v>
      </c>
      <c r="J40" s="158">
        <f>MIN(I40, K39)</f>
        <v>0</v>
      </c>
      <c r="K40" s="122">
        <f>K39-J40</f>
        <v>0</v>
      </c>
      <c r="L40" s="158">
        <f>J40*H40</f>
        <v>0</v>
      </c>
    </row>
    <row r="41" spans="3:12" hidden="1" outlineLevel="2">
      <c r="H41" s="88">
        <v>0</v>
      </c>
      <c r="I41" s="137">
        <v>0</v>
      </c>
      <c r="J41" s="158">
        <f t="shared" ref="J41:J59" si="0">MIN(I41, K40)</f>
        <v>0</v>
      </c>
      <c r="K41" s="122">
        <f t="shared" ref="K41:K59" si="1">K40-J41</f>
        <v>0</v>
      </c>
      <c r="L41" s="158">
        <f t="shared" ref="L41:L77" si="2">J41*H41</f>
        <v>0</v>
      </c>
    </row>
    <row r="42" spans="3:12" hidden="1" outlineLevel="2">
      <c r="H42" s="88">
        <v>0</v>
      </c>
      <c r="I42" s="137">
        <v>0</v>
      </c>
      <c r="J42" s="158">
        <f t="shared" si="0"/>
        <v>0</v>
      </c>
      <c r="K42" s="122">
        <f t="shared" si="1"/>
        <v>0</v>
      </c>
      <c r="L42" s="158">
        <f t="shared" si="2"/>
        <v>0</v>
      </c>
    </row>
    <row r="43" spans="3:12" hidden="1" outlineLevel="2">
      <c r="H43" s="88">
        <v>0</v>
      </c>
      <c r="I43" s="137">
        <v>0</v>
      </c>
      <c r="J43" s="158">
        <f t="shared" si="0"/>
        <v>0</v>
      </c>
      <c r="K43" s="122">
        <f t="shared" si="1"/>
        <v>0</v>
      </c>
      <c r="L43" s="158">
        <f t="shared" si="2"/>
        <v>0</v>
      </c>
    </row>
    <row r="44" spans="3:12" hidden="1" outlineLevel="2">
      <c r="H44" s="88">
        <v>0</v>
      </c>
      <c r="I44" s="137">
        <v>0</v>
      </c>
      <c r="J44" s="158">
        <f t="shared" si="0"/>
        <v>0</v>
      </c>
      <c r="K44" s="122">
        <f t="shared" si="1"/>
        <v>0</v>
      </c>
      <c r="L44" s="158">
        <f t="shared" si="2"/>
        <v>0</v>
      </c>
    </row>
    <row r="45" spans="3:12" hidden="1" outlineLevel="2" collapsed="1">
      <c r="H45" s="88">
        <v>0</v>
      </c>
      <c r="I45" s="137">
        <v>0</v>
      </c>
      <c r="J45" s="158">
        <f t="shared" si="0"/>
        <v>0</v>
      </c>
      <c r="K45" s="122">
        <f t="shared" si="1"/>
        <v>0</v>
      </c>
      <c r="L45" s="158">
        <f t="shared" si="2"/>
        <v>0</v>
      </c>
    </row>
    <row r="46" spans="3:12" ht="12.75" hidden="1" customHeight="1" outlineLevel="2">
      <c r="H46" s="88">
        <v>0</v>
      </c>
      <c r="I46" s="137">
        <v>0</v>
      </c>
      <c r="J46" s="158">
        <f t="shared" si="0"/>
        <v>0</v>
      </c>
      <c r="K46" s="122">
        <f t="shared" si="1"/>
        <v>0</v>
      </c>
      <c r="L46" s="158">
        <f t="shared" si="2"/>
        <v>0</v>
      </c>
    </row>
    <row r="47" spans="3:12" hidden="1" outlineLevel="2">
      <c r="H47" s="88">
        <v>0</v>
      </c>
      <c r="I47" s="137">
        <v>0</v>
      </c>
      <c r="J47" s="158">
        <f t="shared" si="0"/>
        <v>0</v>
      </c>
      <c r="K47" s="122">
        <f t="shared" si="1"/>
        <v>0</v>
      </c>
      <c r="L47" s="158">
        <f t="shared" si="2"/>
        <v>0</v>
      </c>
    </row>
    <row r="48" spans="3:12" hidden="1" outlineLevel="2">
      <c r="H48" s="88">
        <v>0</v>
      </c>
      <c r="I48" s="137">
        <v>0</v>
      </c>
      <c r="J48" s="158">
        <f t="shared" si="0"/>
        <v>0</v>
      </c>
      <c r="K48" s="122">
        <f t="shared" si="1"/>
        <v>0</v>
      </c>
      <c r="L48" s="158">
        <f t="shared" si="2"/>
        <v>0</v>
      </c>
    </row>
    <row r="49" spans="8:12" hidden="1" outlineLevel="2">
      <c r="H49" s="88">
        <v>0</v>
      </c>
      <c r="I49" s="137">
        <v>0</v>
      </c>
      <c r="J49" s="158">
        <f t="shared" si="0"/>
        <v>0</v>
      </c>
      <c r="K49" s="122">
        <f t="shared" si="1"/>
        <v>0</v>
      </c>
      <c r="L49" s="158">
        <f t="shared" si="2"/>
        <v>0</v>
      </c>
    </row>
    <row r="50" spans="8:12" hidden="1" outlineLevel="2">
      <c r="H50" s="88">
        <v>0</v>
      </c>
      <c r="I50" s="137">
        <v>0</v>
      </c>
      <c r="J50" s="158">
        <f t="shared" si="0"/>
        <v>0</v>
      </c>
      <c r="K50" s="122">
        <f t="shared" si="1"/>
        <v>0</v>
      </c>
      <c r="L50" s="158">
        <f t="shared" si="2"/>
        <v>0</v>
      </c>
    </row>
    <row r="51" spans="8:12" hidden="1" outlineLevel="2">
      <c r="H51" s="88">
        <v>0</v>
      </c>
      <c r="I51" s="137">
        <v>0</v>
      </c>
      <c r="J51" s="158">
        <f t="shared" si="0"/>
        <v>0</v>
      </c>
      <c r="K51" s="122">
        <f t="shared" si="1"/>
        <v>0</v>
      </c>
      <c r="L51" s="158">
        <f t="shared" si="2"/>
        <v>0</v>
      </c>
    </row>
    <row r="52" spans="8:12" hidden="1" outlineLevel="2">
      <c r="H52" s="88">
        <v>0</v>
      </c>
      <c r="I52" s="137">
        <v>0</v>
      </c>
      <c r="J52" s="158">
        <f t="shared" si="0"/>
        <v>0</v>
      </c>
      <c r="K52" s="122">
        <f t="shared" si="1"/>
        <v>0</v>
      </c>
      <c r="L52" s="158">
        <f t="shared" si="2"/>
        <v>0</v>
      </c>
    </row>
    <row r="53" spans="8:12" hidden="1" outlineLevel="2">
      <c r="H53" s="88">
        <v>0</v>
      </c>
      <c r="I53" s="137">
        <v>0</v>
      </c>
      <c r="J53" s="158">
        <f t="shared" si="0"/>
        <v>0</v>
      </c>
      <c r="K53" s="122">
        <f t="shared" si="1"/>
        <v>0</v>
      </c>
      <c r="L53" s="158">
        <f t="shared" si="2"/>
        <v>0</v>
      </c>
    </row>
    <row r="54" spans="8:12" hidden="1" outlineLevel="2">
      <c r="H54" s="88">
        <v>0</v>
      </c>
      <c r="I54" s="137">
        <v>0</v>
      </c>
      <c r="J54" s="158">
        <f t="shared" si="0"/>
        <v>0</v>
      </c>
      <c r="K54" s="122">
        <f t="shared" si="1"/>
        <v>0</v>
      </c>
      <c r="L54" s="158">
        <f t="shared" si="2"/>
        <v>0</v>
      </c>
    </row>
    <row r="55" spans="8:12" hidden="1" outlineLevel="2">
      <c r="H55" s="88">
        <v>0</v>
      </c>
      <c r="I55" s="137">
        <v>0</v>
      </c>
      <c r="J55" s="158">
        <f t="shared" si="0"/>
        <v>0</v>
      </c>
      <c r="K55" s="122">
        <f t="shared" si="1"/>
        <v>0</v>
      </c>
      <c r="L55" s="158">
        <f t="shared" si="2"/>
        <v>0</v>
      </c>
    </row>
    <row r="56" spans="8:12" hidden="1" outlineLevel="2">
      <c r="H56" s="88">
        <v>0</v>
      </c>
      <c r="I56" s="137">
        <v>0</v>
      </c>
      <c r="J56" s="158">
        <f t="shared" si="0"/>
        <v>0</v>
      </c>
      <c r="K56" s="122">
        <f t="shared" si="1"/>
        <v>0</v>
      </c>
      <c r="L56" s="158">
        <f t="shared" si="2"/>
        <v>0</v>
      </c>
    </row>
    <row r="57" spans="8:12" hidden="1" outlineLevel="2">
      <c r="H57" s="88">
        <v>0</v>
      </c>
      <c r="I57" s="137">
        <v>0</v>
      </c>
      <c r="J57" s="158">
        <f t="shared" si="0"/>
        <v>0</v>
      </c>
      <c r="K57" s="122">
        <f t="shared" si="1"/>
        <v>0</v>
      </c>
      <c r="L57" s="158">
        <f t="shared" si="2"/>
        <v>0</v>
      </c>
    </row>
    <row r="58" spans="8:12" hidden="1" outlineLevel="2">
      <c r="H58" s="88">
        <v>0</v>
      </c>
      <c r="I58" s="137">
        <v>0</v>
      </c>
      <c r="J58" s="158">
        <f t="shared" si="0"/>
        <v>0</v>
      </c>
      <c r="K58" s="122">
        <f t="shared" si="1"/>
        <v>0</v>
      </c>
      <c r="L58" s="158">
        <f t="shared" si="2"/>
        <v>0</v>
      </c>
    </row>
    <row r="59" spans="8:12" hidden="1" outlineLevel="2">
      <c r="H59" s="88">
        <v>0</v>
      </c>
      <c r="I59" s="137">
        <v>0</v>
      </c>
      <c r="J59" s="158">
        <f t="shared" si="0"/>
        <v>0</v>
      </c>
      <c r="K59" s="122">
        <f t="shared" si="1"/>
        <v>0</v>
      </c>
      <c r="L59" s="158">
        <f t="shared" si="2"/>
        <v>0</v>
      </c>
    </row>
    <row r="60" spans="8:12" hidden="1" outlineLevel="2">
      <c r="H60" s="88">
        <v>0</v>
      </c>
      <c r="I60" s="137">
        <v>0</v>
      </c>
      <c r="J60" s="158">
        <f t="shared" ref="J60:J76" si="3">MIN(I60, K59)</f>
        <v>0</v>
      </c>
      <c r="K60" s="122">
        <f t="shared" ref="K60:K76" si="4">K59-J60</f>
        <v>0</v>
      </c>
      <c r="L60" s="158">
        <f t="shared" ref="L60:L76" si="5">J60*H60</f>
        <v>0</v>
      </c>
    </row>
    <row r="61" spans="8:12" hidden="1" outlineLevel="2">
      <c r="H61" s="88">
        <v>0</v>
      </c>
      <c r="I61" s="137">
        <v>0</v>
      </c>
      <c r="J61" s="158">
        <f t="shared" si="3"/>
        <v>0</v>
      </c>
      <c r="K61" s="122">
        <f t="shared" si="4"/>
        <v>0</v>
      </c>
      <c r="L61" s="158">
        <f t="shared" si="5"/>
        <v>0</v>
      </c>
    </row>
    <row r="62" spans="8:12" hidden="1" outlineLevel="2">
      <c r="H62" s="88">
        <v>0</v>
      </c>
      <c r="I62" s="137">
        <v>0</v>
      </c>
      <c r="J62" s="158">
        <f t="shared" si="3"/>
        <v>0</v>
      </c>
      <c r="K62" s="122">
        <f t="shared" si="4"/>
        <v>0</v>
      </c>
      <c r="L62" s="158">
        <f t="shared" si="5"/>
        <v>0</v>
      </c>
    </row>
    <row r="63" spans="8:12" hidden="1" outlineLevel="2">
      <c r="H63" s="88">
        <v>0</v>
      </c>
      <c r="I63" s="137">
        <v>0</v>
      </c>
      <c r="J63" s="158">
        <f t="shared" si="3"/>
        <v>0</v>
      </c>
      <c r="K63" s="122">
        <f t="shared" si="4"/>
        <v>0</v>
      </c>
      <c r="L63" s="158">
        <f t="shared" si="5"/>
        <v>0</v>
      </c>
    </row>
    <row r="64" spans="8:12" hidden="1" outlineLevel="2">
      <c r="H64" s="88">
        <v>0</v>
      </c>
      <c r="I64" s="137">
        <v>0</v>
      </c>
      <c r="J64" s="158">
        <f t="shared" si="3"/>
        <v>0</v>
      </c>
      <c r="K64" s="122">
        <f t="shared" si="4"/>
        <v>0</v>
      </c>
      <c r="L64" s="158">
        <f t="shared" si="5"/>
        <v>0</v>
      </c>
    </row>
    <row r="65" spans="3:12" hidden="1" outlineLevel="2">
      <c r="H65" s="88">
        <v>0</v>
      </c>
      <c r="I65" s="137">
        <v>0</v>
      </c>
      <c r="J65" s="158">
        <f t="shared" si="3"/>
        <v>0</v>
      </c>
      <c r="K65" s="122">
        <f t="shared" si="4"/>
        <v>0</v>
      </c>
      <c r="L65" s="158">
        <f t="shared" si="5"/>
        <v>0</v>
      </c>
    </row>
    <row r="66" spans="3:12" hidden="1" outlineLevel="2">
      <c r="H66" s="88">
        <v>0</v>
      </c>
      <c r="I66" s="137">
        <v>0</v>
      </c>
      <c r="J66" s="158">
        <f t="shared" si="3"/>
        <v>0</v>
      </c>
      <c r="K66" s="122">
        <f t="shared" si="4"/>
        <v>0</v>
      </c>
      <c r="L66" s="158">
        <f t="shared" si="5"/>
        <v>0</v>
      </c>
    </row>
    <row r="67" spans="3:12" hidden="1" outlineLevel="2">
      <c r="H67" s="88">
        <v>0</v>
      </c>
      <c r="I67" s="137">
        <v>0</v>
      </c>
      <c r="J67" s="158">
        <f t="shared" si="3"/>
        <v>0</v>
      </c>
      <c r="K67" s="122">
        <f t="shared" si="4"/>
        <v>0</v>
      </c>
      <c r="L67" s="158">
        <f t="shared" si="5"/>
        <v>0</v>
      </c>
    </row>
    <row r="68" spans="3:12" hidden="1" outlineLevel="2">
      <c r="H68" s="88">
        <v>0</v>
      </c>
      <c r="I68" s="137">
        <v>0</v>
      </c>
      <c r="J68" s="158">
        <f t="shared" si="3"/>
        <v>0</v>
      </c>
      <c r="K68" s="122">
        <f t="shared" si="4"/>
        <v>0</v>
      </c>
      <c r="L68" s="158">
        <f t="shared" si="5"/>
        <v>0</v>
      </c>
    </row>
    <row r="69" spans="3:12" hidden="1" outlineLevel="2">
      <c r="H69" s="88">
        <v>0</v>
      </c>
      <c r="I69" s="137">
        <v>0</v>
      </c>
      <c r="J69" s="158">
        <f t="shared" si="3"/>
        <v>0</v>
      </c>
      <c r="K69" s="122">
        <f t="shared" si="4"/>
        <v>0</v>
      </c>
      <c r="L69" s="158">
        <f t="shared" si="5"/>
        <v>0</v>
      </c>
    </row>
    <row r="70" spans="3:12" hidden="1" outlineLevel="2">
      <c r="H70" s="88">
        <v>0</v>
      </c>
      <c r="I70" s="137">
        <v>0</v>
      </c>
      <c r="J70" s="158">
        <f t="shared" si="3"/>
        <v>0</v>
      </c>
      <c r="K70" s="122">
        <f t="shared" si="4"/>
        <v>0</v>
      </c>
      <c r="L70" s="158">
        <f t="shared" si="5"/>
        <v>0</v>
      </c>
    </row>
    <row r="71" spans="3:12" hidden="1" outlineLevel="2">
      <c r="H71" s="88">
        <v>0</v>
      </c>
      <c r="I71" s="137">
        <v>0</v>
      </c>
      <c r="J71" s="158">
        <f t="shared" si="3"/>
        <v>0</v>
      </c>
      <c r="K71" s="122">
        <f t="shared" si="4"/>
        <v>0</v>
      </c>
      <c r="L71" s="158">
        <f t="shared" si="5"/>
        <v>0</v>
      </c>
    </row>
    <row r="72" spans="3:12" hidden="1" outlineLevel="2">
      <c r="H72" s="88">
        <v>0</v>
      </c>
      <c r="I72" s="137">
        <v>0</v>
      </c>
      <c r="J72" s="158">
        <f t="shared" si="3"/>
        <v>0</v>
      </c>
      <c r="K72" s="122">
        <f t="shared" si="4"/>
        <v>0</v>
      </c>
      <c r="L72" s="158">
        <f t="shared" si="5"/>
        <v>0</v>
      </c>
    </row>
    <row r="73" spans="3:12" hidden="1" outlineLevel="2">
      <c r="H73" s="88">
        <v>0</v>
      </c>
      <c r="I73" s="137">
        <v>0</v>
      </c>
      <c r="J73" s="158">
        <f t="shared" si="3"/>
        <v>0</v>
      </c>
      <c r="K73" s="122">
        <f t="shared" si="4"/>
        <v>0</v>
      </c>
      <c r="L73" s="158">
        <f t="shared" si="5"/>
        <v>0</v>
      </c>
    </row>
    <row r="74" spans="3:12" hidden="1" outlineLevel="2">
      <c r="H74" s="88">
        <v>0</v>
      </c>
      <c r="I74" s="137">
        <v>0</v>
      </c>
      <c r="J74" s="158">
        <f t="shared" si="3"/>
        <v>0</v>
      </c>
      <c r="K74" s="122">
        <f t="shared" si="4"/>
        <v>0</v>
      </c>
      <c r="L74" s="158">
        <f t="shared" si="5"/>
        <v>0</v>
      </c>
    </row>
    <row r="75" spans="3:12" hidden="1" outlineLevel="2">
      <c r="H75" s="88">
        <v>0</v>
      </c>
      <c r="I75" s="137">
        <v>0</v>
      </c>
      <c r="J75" s="158">
        <f t="shared" si="3"/>
        <v>0</v>
      </c>
      <c r="K75" s="122">
        <f t="shared" si="4"/>
        <v>0</v>
      </c>
      <c r="L75" s="158">
        <f t="shared" si="5"/>
        <v>0</v>
      </c>
    </row>
    <row r="76" spans="3:12" hidden="1" outlineLevel="2">
      <c r="H76" s="88">
        <v>0</v>
      </c>
      <c r="I76" s="137">
        <v>0</v>
      </c>
      <c r="J76" s="158">
        <f t="shared" si="3"/>
        <v>0</v>
      </c>
      <c r="K76" s="122">
        <f t="shared" si="4"/>
        <v>0</v>
      </c>
      <c r="L76" s="158">
        <f t="shared" si="5"/>
        <v>0</v>
      </c>
    </row>
    <row r="77" spans="3:12" outlineLevel="1" collapsed="1">
      <c r="H77" s="88">
        <v>0</v>
      </c>
      <c r="I77" s="137">
        <v>0</v>
      </c>
      <c r="J77" s="227">
        <f>K76</f>
        <v>0</v>
      </c>
      <c r="K77" s="122">
        <f>K76-J77</f>
        <v>0</v>
      </c>
      <c r="L77" s="158">
        <f t="shared" si="2"/>
        <v>0</v>
      </c>
    </row>
    <row r="78" spans="3:12" ht="12" outlineLevel="1">
      <c r="H78" s="91"/>
      <c r="I78" s="43"/>
    </row>
    <row r="79" spans="3:12" outlineLevel="1">
      <c r="C79" t="s">
        <v>359</v>
      </c>
      <c r="D79" t="s">
        <v>360</v>
      </c>
      <c r="F79" s="164">
        <f>F36*IF(F29=0, 0, 1/F29)</f>
        <v>0</v>
      </c>
    </row>
    <row r="80" spans="3:12" ht="10.5" customHeight="1"/>
    <row r="81" spans="1:13" s="220" customFormat="1">
      <c r="A81" s="220">
        <v>2</v>
      </c>
      <c r="B81" s="221" t="str">
        <f>INDEX(segments,A81)</f>
        <v>Business</v>
      </c>
      <c r="C81" s="207"/>
    </row>
    <row r="82" spans="1:13" outlineLevel="1"/>
    <row r="83" spans="1:13" outlineLevel="1">
      <c r="B83" s="91" t="s">
        <v>311</v>
      </c>
    </row>
    <row r="84" spans="1:13" outlineLevel="1"/>
    <row r="85" spans="1:13" outlineLevel="1">
      <c r="C85" t="s">
        <v>117</v>
      </c>
      <c r="F85" s="137">
        <f>retail.number.subscribers.test.segment2</f>
        <v>49698.299999999996</v>
      </c>
    </row>
    <row r="86" spans="1:13" outlineLevel="1"/>
    <row r="87" spans="1:13" outlineLevel="1"/>
    <row r="88" spans="1:13" ht="34.5" outlineLevel="1">
      <c r="F88" s="121" t="s">
        <v>89</v>
      </c>
      <c r="H88" s="121" t="s">
        <v>287</v>
      </c>
      <c r="I88" s="121" t="s">
        <v>286</v>
      </c>
      <c r="J88" s="121" t="s">
        <v>178</v>
      </c>
      <c r="K88" s="121" t="s">
        <v>291</v>
      </c>
      <c r="L88" s="121" t="s">
        <v>181</v>
      </c>
      <c r="M88" s="121" t="s">
        <v>289</v>
      </c>
    </row>
    <row r="89" spans="1:13" outlineLevel="1"/>
    <row r="90" spans="1:13" outlineLevel="1">
      <c r="C90" t="s">
        <v>344</v>
      </c>
      <c r="D90" t="s">
        <v>347</v>
      </c>
      <c r="H90" s="137">
        <f t="array" ref="H90:M90">WS.access.fees</f>
        <v>0</v>
      </c>
      <c r="I90" s="137">
        <v>0</v>
      </c>
      <c r="J90" s="137">
        <v>0</v>
      </c>
      <c r="K90" s="137">
        <v>0</v>
      </c>
      <c r="L90" s="137">
        <v>0</v>
      </c>
      <c r="M90" s="137">
        <v>0</v>
      </c>
    </row>
    <row r="91" spans="1:13" outlineLevel="1">
      <c r="C91" t="s">
        <v>345</v>
      </c>
      <c r="I91" s="135">
        <f>IF(F85=0, 0, 1)</f>
        <v>1</v>
      </c>
      <c r="K91" s="129">
        <f>IF(F85&gt;H90, 1, 0)</f>
        <v>1</v>
      </c>
      <c r="L91" s="135">
        <f>IF(F85=0, 0, 1)</f>
        <v>1</v>
      </c>
    </row>
    <row r="92" spans="1:13" outlineLevel="1">
      <c r="C92" t="s">
        <v>346</v>
      </c>
      <c r="D92" t="s">
        <v>288</v>
      </c>
      <c r="F92" s="129">
        <f>SUM(H92:M92)</f>
        <v>0</v>
      </c>
      <c r="I92" s="129">
        <f>I90*I91</f>
        <v>0</v>
      </c>
      <c r="K92" s="129">
        <f>K90*K91</f>
        <v>0</v>
      </c>
      <c r="L92" s="129">
        <f>IF(M90=0, 0, L90*L91/M90)</f>
        <v>0</v>
      </c>
    </row>
    <row r="93" spans="1:13" outlineLevel="1">
      <c r="C93" t="s">
        <v>348</v>
      </c>
      <c r="D93" t="s">
        <v>288</v>
      </c>
      <c r="F93" s="157">
        <f>IF(F85=0, 0, F92/F85)</f>
        <v>0</v>
      </c>
    </row>
    <row r="94" spans="1:13" outlineLevel="1"/>
    <row r="95" spans="1:13" outlineLevel="1">
      <c r="B95" s="91" t="s">
        <v>275</v>
      </c>
    </row>
    <row r="96" spans="1:13" outlineLevel="1"/>
    <row r="97" spans="3:12" outlineLevel="1">
      <c r="C97" t="s">
        <v>117</v>
      </c>
      <c r="D97" t="s">
        <v>205</v>
      </c>
      <c r="F97" s="137">
        <f>retail.number.subscribers.test.segment2</f>
        <v>49698.299999999996</v>
      </c>
    </row>
    <row r="98" spans="3:12" outlineLevel="1">
      <c r="C98" t="s">
        <v>349</v>
      </c>
      <c r="D98" t="s">
        <v>350</v>
      </c>
      <c r="F98" s="159">
        <f>(SUMPRODUCT(out.min.per.month.segment.2, subscription.split.segment.2)+SUMPRODUCT(in.min.per.month.segment.2, subscription.split.segment.2))*F97/million</f>
        <v>0</v>
      </c>
    </row>
    <row r="99" spans="3:12" outlineLevel="1">
      <c r="F99" s="159"/>
    </row>
    <row r="100" spans="3:12" outlineLevel="1">
      <c r="C100" t="s">
        <v>351</v>
      </c>
      <c r="D100" t="s">
        <v>288</v>
      </c>
      <c r="F100" s="129">
        <f>F101+F102</f>
        <v>0</v>
      </c>
    </row>
    <row r="101" spans="3:12" outlineLevel="1">
      <c r="C101" t="s">
        <v>352</v>
      </c>
      <c r="D101" t="s">
        <v>288</v>
      </c>
      <c r="F101" s="123">
        <f>F92</f>
        <v>0</v>
      </c>
    </row>
    <row r="102" spans="3:12" outlineLevel="1">
      <c r="C102" t="s">
        <v>353</v>
      </c>
      <c r="D102" t="s">
        <v>288</v>
      </c>
      <c r="F102" s="141">
        <f>IF(wholesale.offer.type.selected=lbl.SP,(output.wholesale.costs.segment.2+output.interconnection.costs.segment.2)*F97,output.wholesale.costs.segment.2*F97)</f>
        <v>0</v>
      </c>
    </row>
    <row r="103" spans="3:12" outlineLevel="1"/>
    <row r="104" spans="3:12" outlineLevel="1">
      <c r="C104" t="s">
        <v>358</v>
      </c>
      <c r="D104" t="s">
        <v>288</v>
      </c>
      <c r="E104" s="91"/>
      <c r="F104" s="163">
        <f>SUM(L107:L145)</f>
        <v>0</v>
      </c>
    </row>
    <row r="105" spans="3:12" outlineLevel="1"/>
    <row r="106" spans="3:12" ht="23" outlineLevel="1">
      <c r="H106" s="109" t="s">
        <v>185</v>
      </c>
      <c r="I106" s="109" t="s">
        <v>186</v>
      </c>
      <c r="J106" s="1" t="s">
        <v>355</v>
      </c>
      <c r="K106" s="1" t="s">
        <v>356</v>
      </c>
      <c r="L106" s="1" t="s">
        <v>357</v>
      </c>
    </row>
    <row r="107" spans="3:12" outlineLevel="1">
      <c r="H107" s="88">
        <f t="array" ref="H107:H145">discount.rebate</f>
        <v>0</v>
      </c>
      <c r="I107" s="137">
        <f t="array" ref="I107:I145">discount.turnover.interval</f>
        <v>0</v>
      </c>
      <c r="J107" s="160">
        <f>MIN(I107, F100)</f>
        <v>0</v>
      </c>
      <c r="K107" s="162">
        <f>F100-J107</f>
        <v>0</v>
      </c>
      <c r="L107" s="158">
        <f>J107*H107</f>
        <v>0</v>
      </c>
    </row>
    <row r="108" spans="3:12" hidden="1" outlineLevel="2">
      <c r="H108" s="88">
        <v>0</v>
      </c>
      <c r="I108" s="137">
        <v>0</v>
      </c>
      <c r="J108" s="158">
        <f>MIN(I108, K107)</f>
        <v>0</v>
      </c>
      <c r="K108" s="161">
        <f>K107-J108</f>
        <v>0</v>
      </c>
      <c r="L108" s="158">
        <f>J108*H108</f>
        <v>0</v>
      </c>
    </row>
    <row r="109" spans="3:12" hidden="1" outlineLevel="2">
      <c r="H109" s="88">
        <v>0</v>
      </c>
      <c r="I109" s="137">
        <v>0</v>
      </c>
      <c r="J109" s="158">
        <f t="shared" ref="J109:J127" si="6">MIN(I109, K108)</f>
        <v>0</v>
      </c>
      <c r="K109" s="161">
        <f t="shared" ref="K109:K127" si="7">K108-J109</f>
        <v>0</v>
      </c>
      <c r="L109" s="158">
        <f t="shared" ref="L109:L127" si="8">J109*H109</f>
        <v>0</v>
      </c>
    </row>
    <row r="110" spans="3:12" hidden="1" outlineLevel="2">
      <c r="H110" s="88">
        <v>0</v>
      </c>
      <c r="I110" s="137">
        <v>0</v>
      </c>
      <c r="J110" s="158">
        <f t="shared" si="6"/>
        <v>0</v>
      </c>
      <c r="K110" s="161">
        <f t="shared" si="7"/>
        <v>0</v>
      </c>
      <c r="L110" s="158">
        <f t="shared" si="8"/>
        <v>0</v>
      </c>
    </row>
    <row r="111" spans="3:12" hidden="1" outlineLevel="2">
      <c r="H111" s="88">
        <v>0</v>
      </c>
      <c r="I111" s="137">
        <v>0</v>
      </c>
      <c r="J111" s="158">
        <f t="shared" si="6"/>
        <v>0</v>
      </c>
      <c r="K111" s="161">
        <f t="shared" si="7"/>
        <v>0</v>
      </c>
      <c r="L111" s="158">
        <f t="shared" si="8"/>
        <v>0</v>
      </c>
    </row>
    <row r="112" spans="3:12" hidden="1" outlineLevel="2">
      <c r="H112" s="88">
        <v>0</v>
      </c>
      <c r="I112" s="137">
        <v>0</v>
      </c>
      <c r="J112" s="158">
        <f t="shared" si="6"/>
        <v>0</v>
      </c>
      <c r="K112" s="161">
        <f t="shared" si="7"/>
        <v>0</v>
      </c>
      <c r="L112" s="158">
        <f t="shared" si="8"/>
        <v>0</v>
      </c>
    </row>
    <row r="113" spans="8:12" hidden="1" outlineLevel="2" collapsed="1">
      <c r="H113" s="88">
        <v>0</v>
      </c>
      <c r="I113" s="137">
        <v>0</v>
      </c>
      <c r="J113" s="158">
        <f t="shared" si="6"/>
        <v>0</v>
      </c>
      <c r="K113" s="161">
        <f t="shared" si="7"/>
        <v>0</v>
      </c>
      <c r="L113" s="158">
        <f t="shared" si="8"/>
        <v>0</v>
      </c>
    </row>
    <row r="114" spans="8:12" ht="12.75" hidden="1" customHeight="1" outlineLevel="2">
      <c r="H114" s="88">
        <v>0</v>
      </c>
      <c r="I114" s="137">
        <v>0</v>
      </c>
      <c r="J114" s="158">
        <f t="shared" si="6"/>
        <v>0</v>
      </c>
      <c r="K114" s="161">
        <f t="shared" si="7"/>
        <v>0</v>
      </c>
      <c r="L114" s="158">
        <f t="shared" si="8"/>
        <v>0</v>
      </c>
    </row>
    <row r="115" spans="8:12" hidden="1" outlineLevel="2">
      <c r="H115" s="88">
        <v>0</v>
      </c>
      <c r="I115" s="137">
        <v>0</v>
      </c>
      <c r="J115" s="158">
        <f t="shared" si="6"/>
        <v>0</v>
      </c>
      <c r="K115" s="161">
        <f t="shared" si="7"/>
        <v>0</v>
      </c>
      <c r="L115" s="158">
        <f t="shared" si="8"/>
        <v>0</v>
      </c>
    </row>
    <row r="116" spans="8:12" hidden="1" outlineLevel="2">
      <c r="H116" s="88">
        <v>0</v>
      </c>
      <c r="I116" s="137">
        <v>0</v>
      </c>
      <c r="J116" s="158">
        <f t="shared" si="6"/>
        <v>0</v>
      </c>
      <c r="K116" s="161">
        <f t="shared" si="7"/>
        <v>0</v>
      </c>
      <c r="L116" s="158">
        <f t="shared" si="8"/>
        <v>0</v>
      </c>
    </row>
    <row r="117" spans="8:12" hidden="1" outlineLevel="2">
      <c r="H117" s="88">
        <v>0</v>
      </c>
      <c r="I117" s="137">
        <v>0</v>
      </c>
      <c r="J117" s="158">
        <f t="shared" si="6"/>
        <v>0</v>
      </c>
      <c r="K117" s="161">
        <f t="shared" si="7"/>
        <v>0</v>
      </c>
      <c r="L117" s="158">
        <f t="shared" si="8"/>
        <v>0</v>
      </c>
    </row>
    <row r="118" spans="8:12" hidden="1" outlineLevel="2">
      <c r="H118" s="88">
        <v>0</v>
      </c>
      <c r="I118" s="137">
        <v>0</v>
      </c>
      <c r="J118" s="158">
        <f t="shared" si="6"/>
        <v>0</v>
      </c>
      <c r="K118" s="161">
        <f t="shared" si="7"/>
        <v>0</v>
      </c>
      <c r="L118" s="158">
        <f t="shared" si="8"/>
        <v>0</v>
      </c>
    </row>
    <row r="119" spans="8:12" hidden="1" outlineLevel="2">
      <c r="H119" s="88">
        <v>0</v>
      </c>
      <c r="I119" s="137">
        <v>0</v>
      </c>
      <c r="J119" s="158">
        <f t="shared" si="6"/>
        <v>0</v>
      </c>
      <c r="K119" s="161">
        <f t="shared" si="7"/>
        <v>0</v>
      </c>
      <c r="L119" s="158">
        <f t="shared" si="8"/>
        <v>0</v>
      </c>
    </row>
    <row r="120" spans="8:12" hidden="1" outlineLevel="2">
      <c r="H120" s="88">
        <v>0</v>
      </c>
      <c r="I120" s="137">
        <v>0</v>
      </c>
      <c r="J120" s="158">
        <f t="shared" si="6"/>
        <v>0</v>
      </c>
      <c r="K120" s="161">
        <f t="shared" si="7"/>
        <v>0</v>
      </c>
      <c r="L120" s="158">
        <f t="shared" si="8"/>
        <v>0</v>
      </c>
    </row>
    <row r="121" spans="8:12" hidden="1" outlineLevel="2">
      <c r="H121" s="88">
        <v>0</v>
      </c>
      <c r="I121" s="137">
        <v>0</v>
      </c>
      <c r="J121" s="158">
        <f t="shared" si="6"/>
        <v>0</v>
      </c>
      <c r="K121" s="161">
        <f t="shared" si="7"/>
        <v>0</v>
      </c>
      <c r="L121" s="158">
        <f t="shared" si="8"/>
        <v>0</v>
      </c>
    </row>
    <row r="122" spans="8:12" hidden="1" outlineLevel="2">
      <c r="H122" s="88">
        <v>0</v>
      </c>
      <c r="I122" s="137">
        <v>0</v>
      </c>
      <c r="J122" s="158">
        <f t="shared" si="6"/>
        <v>0</v>
      </c>
      <c r="K122" s="161">
        <f t="shared" si="7"/>
        <v>0</v>
      </c>
      <c r="L122" s="158">
        <f t="shared" si="8"/>
        <v>0</v>
      </c>
    </row>
    <row r="123" spans="8:12" hidden="1" outlineLevel="2">
      <c r="H123" s="88">
        <v>0</v>
      </c>
      <c r="I123" s="137">
        <v>0</v>
      </c>
      <c r="J123" s="158">
        <f t="shared" si="6"/>
        <v>0</v>
      </c>
      <c r="K123" s="161">
        <f t="shared" si="7"/>
        <v>0</v>
      </c>
      <c r="L123" s="158">
        <f t="shared" si="8"/>
        <v>0</v>
      </c>
    </row>
    <row r="124" spans="8:12" hidden="1" outlineLevel="2">
      <c r="H124" s="88">
        <v>0</v>
      </c>
      <c r="I124" s="137">
        <v>0</v>
      </c>
      <c r="J124" s="158">
        <f t="shared" si="6"/>
        <v>0</v>
      </c>
      <c r="K124" s="161">
        <f t="shared" si="7"/>
        <v>0</v>
      </c>
      <c r="L124" s="158">
        <f t="shared" si="8"/>
        <v>0</v>
      </c>
    </row>
    <row r="125" spans="8:12" hidden="1" outlineLevel="2">
      <c r="H125" s="88">
        <v>0</v>
      </c>
      <c r="I125" s="137">
        <v>0</v>
      </c>
      <c r="J125" s="158">
        <f t="shared" si="6"/>
        <v>0</v>
      </c>
      <c r="K125" s="161">
        <f t="shared" si="7"/>
        <v>0</v>
      </c>
      <c r="L125" s="158">
        <f t="shared" si="8"/>
        <v>0</v>
      </c>
    </row>
    <row r="126" spans="8:12" hidden="1" outlineLevel="2">
      <c r="H126" s="88">
        <v>0</v>
      </c>
      <c r="I126" s="137">
        <v>0</v>
      </c>
      <c r="J126" s="158">
        <f t="shared" si="6"/>
        <v>0</v>
      </c>
      <c r="K126" s="161">
        <f t="shared" si="7"/>
        <v>0</v>
      </c>
      <c r="L126" s="158">
        <f t="shared" si="8"/>
        <v>0</v>
      </c>
    </row>
    <row r="127" spans="8:12" hidden="1" outlineLevel="2">
      <c r="H127" s="88">
        <v>0</v>
      </c>
      <c r="I127" s="137">
        <v>0</v>
      </c>
      <c r="J127" s="158">
        <f t="shared" si="6"/>
        <v>0</v>
      </c>
      <c r="K127" s="161">
        <f t="shared" si="7"/>
        <v>0</v>
      </c>
      <c r="L127" s="158">
        <f t="shared" si="8"/>
        <v>0</v>
      </c>
    </row>
    <row r="128" spans="8:12" hidden="1" outlineLevel="2">
      <c r="H128" s="88">
        <v>0</v>
      </c>
      <c r="I128" s="137">
        <v>0</v>
      </c>
      <c r="J128" s="158">
        <f t="shared" ref="J128:J144" si="9">MIN(I128, K127)</f>
        <v>0</v>
      </c>
      <c r="K128" s="161">
        <f t="shared" ref="K128:K144" si="10">K127-J128</f>
        <v>0</v>
      </c>
      <c r="L128" s="158">
        <f t="shared" ref="L128:L145" si="11">J128*H128</f>
        <v>0</v>
      </c>
    </row>
    <row r="129" spans="8:12" hidden="1" outlineLevel="2">
      <c r="H129" s="88">
        <v>0</v>
      </c>
      <c r="I129" s="137">
        <v>0</v>
      </c>
      <c r="J129" s="158">
        <f t="shared" si="9"/>
        <v>0</v>
      </c>
      <c r="K129" s="161">
        <f t="shared" si="10"/>
        <v>0</v>
      </c>
      <c r="L129" s="158">
        <f t="shared" si="11"/>
        <v>0</v>
      </c>
    </row>
    <row r="130" spans="8:12" hidden="1" outlineLevel="2">
      <c r="H130" s="88">
        <v>0</v>
      </c>
      <c r="I130" s="137">
        <v>0</v>
      </c>
      <c r="J130" s="158">
        <f t="shared" si="9"/>
        <v>0</v>
      </c>
      <c r="K130" s="161">
        <f t="shared" si="10"/>
        <v>0</v>
      </c>
      <c r="L130" s="158">
        <f t="shared" si="11"/>
        <v>0</v>
      </c>
    </row>
    <row r="131" spans="8:12" hidden="1" outlineLevel="2">
      <c r="H131" s="88">
        <v>0</v>
      </c>
      <c r="I131" s="137">
        <v>0</v>
      </c>
      <c r="J131" s="158">
        <f t="shared" si="9"/>
        <v>0</v>
      </c>
      <c r="K131" s="161">
        <f t="shared" si="10"/>
        <v>0</v>
      </c>
      <c r="L131" s="158">
        <f t="shared" si="11"/>
        <v>0</v>
      </c>
    </row>
    <row r="132" spans="8:12" hidden="1" outlineLevel="2">
      <c r="H132" s="88">
        <v>0</v>
      </c>
      <c r="I132" s="137">
        <v>0</v>
      </c>
      <c r="J132" s="158">
        <f t="shared" si="9"/>
        <v>0</v>
      </c>
      <c r="K132" s="161">
        <f t="shared" si="10"/>
        <v>0</v>
      </c>
      <c r="L132" s="158">
        <f t="shared" si="11"/>
        <v>0</v>
      </c>
    </row>
    <row r="133" spans="8:12" hidden="1" outlineLevel="2">
      <c r="H133" s="88">
        <v>0</v>
      </c>
      <c r="I133" s="137">
        <v>0</v>
      </c>
      <c r="J133" s="158">
        <f t="shared" si="9"/>
        <v>0</v>
      </c>
      <c r="K133" s="161">
        <f t="shared" si="10"/>
        <v>0</v>
      </c>
      <c r="L133" s="158">
        <f t="shared" si="11"/>
        <v>0</v>
      </c>
    </row>
    <row r="134" spans="8:12" hidden="1" outlineLevel="2">
      <c r="H134" s="88">
        <v>0</v>
      </c>
      <c r="I134" s="137">
        <v>0</v>
      </c>
      <c r="J134" s="158">
        <f t="shared" si="9"/>
        <v>0</v>
      </c>
      <c r="K134" s="161">
        <f t="shared" si="10"/>
        <v>0</v>
      </c>
      <c r="L134" s="158">
        <f t="shared" si="11"/>
        <v>0</v>
      </c>
    </row>
    <row r="135" spans="8:12" hidden="1" outlineLevel="2">
      <c r="H135" s="88">
        <v>0</v>
      </c>
      <c r="I135" s="137">
        <v>0</v>
      </c>
      <c r="J135" s="158">
        <f t="shared" si="9"/>
        <v>0</v>
      </c>
      <c r="K135" s="161">
        <f t="shared" si="10"/>
        <v>0</v>
      </c>
      <c r="L135" s="158">
        <f t="shared" si="11"/>
        <v>0</v>
      </c>
    </row>
    <row r="136" spans="8:12" hidden="1" outlineLevel="2">
      <c r="H136" s="88">
        <v>0</v>
      </c>
      <c r="I136" s="137">
        <v>0</v>
      </c>
      <c r="J136" s="158">
        <f t="shared" si="9"/>
        <v>0</v>
      </c>
      <c r="K136" s="161">
        <f t="shared" si="10"/>
        <v>0</v>
      </c>
      <c r="L136" s="158">
        <f t="shared" si="11"/>
        <v>0</v>
      </c>
    </row>
    <row r="137" spans="8:12" hidden="1" outlineLevel="2">
      <c r="H137" s="88">
        <v>0</v>
      </c>
      <c r="I137" s="137">
        <v>0</v>
      </c>
      <c r="J137" s="158">
        <f t="shared" si="9"/>
        <v>0</v>
      </c>
      <c r="K137" s="161">
        <f t="shared" si="10"/>
        <v>0</v>
      </c>
      <c r="L137" s="158">
        <f t="shared" si="11"/>
        <v>0</v>
      </c>
    </row>
    <row r="138" spans="8:12" hidden="1" outlineLevel="2">
      <c r="H138" s="88">
        <v>0</v>
      </c>
      <c r="I138" s="137">
        <v>0</v>
      </c>
      <c r="J138" s="158">
        <f t="shared" si="9"/>
        <v>0</v>
      </c>
      <c r="K138" s="161">
        <f t="shared" si="10"/>
        <v>0</v>
      </c>
      <c r="L138" s="158">
        <f t="shared" si="11"/>
        <v>0</v>
      </c>
    </row>
    <row r="139" spans="8:12" hidden="1" outlineLevel="2">
      <c r="H139" s="88">
        <v>0</v>
      </c>
      <c r="I139" s="137">
        <v>0</v>
      </c>
      <c r="J139" s="158">
        <f t="shared" si="9"/>
        <v>0</v>
      </c>
      <c r="K139" s="161">
        <f t="shared" si="10"/>
        <v>0</v>
      </c>
      <c r="L139" s="158">
        <f t="shared" si="11"/>
        <v>0</v>
      </c>
    </row>
    <row r="140" spans="8:12" hidden="1" outlineLevel="2">
      <c r="H140" s="88">
        <v>0</v>
      </c>
      <c r="I140" s="137">
        <v>0</v>
      </c>
      <c r="J140" s="158">
        <f t="shared" si="9"/>
        <v>0</v>
      </c>
      <c r="K140" s="161">
        <f t="shared" si="10"/>
        <v>0</v>
      </c>
      <c r="L140" s="158">
        <f t="shared" si="11"/>
        <v>0</v>
      </c>
    </row>
    <row r="141" spans="8:12" hidden="1" outlineLevel="2">
      <c r="H141" s="88">
        <v>0</v>
      </c>
      <c r="I141" s="137">
        <v>0</v>
      </c>
      <c r="J141" s="158">
        <f t="shared" si="9"/>
        <v>0</v>
      </c>
      <c r="K141" s="161">
        <f t="shared" si="10"/>
        <v>0</v>
      </c>
      <c r="L141" s="158">
        <f t="shared" si="11"/>
        <v>0</v>
      </c>
    </row>
    <row r="142" spans="8:12" hidden="1" outlineLevel="2">
      <c r="H142" s="88">
        <v>0</v>
      </c>
      <c r="I142" s="137">
        <v>0</v>
      </c>
      <c r="J142" s="158">
        <f t="shared" si="9"/>
        <v>0</v>
      </c>
      <c r="K142" s="161">
        <f t="shared" si="10"/>
        <v>0</v>
      </c>
      <c r="L142" s="158">
        <f t="shared" si="11"/>
        <v>0</v>
      </c>
    </row>
    <row r="143" spans="8:12" hidden="1" outlineLevel="2">
      <c r="H143" s="88">
        <v>0</v>
      </c>
      <c r="I143" s="137">
        <v>0</v>
      </c>
      <c r="J143" s="158">
        <f t="shared" si="9"/>
        <v>0</v>
      </c>
      <c r="K143" s="161">
        <f t="shared" si="10"/>
        <v>0</v>
      </c>
      <c r="L143" s="158">
        <f t="shared" si="11"/>
        <v>0</v>
      </c>
    </row>
    <row r="144" spans="8:12" hidden="1" outlineLevel="2">
      <c r="H144" s="88">
        <v>0</v>
      </c>
      <c r="I144" s="137">
        <v>0</v>
      </c>
      <c r="J144" s="158">
        <f t="shared" si="9"/>
        <v>0</v>
      </c>
      <c r="K144" s="161">
        <f t="shared" si="10"/>
        <v>0</v>
      </c>
      <c r="L144" s="158">
        <f t="shared" si="11"/>
        <v>0</v>
      </c>
    </row>
    <row r="145" spans="1:13" outlineLevel="1" collapsed="1">
      <c r="H145" s="88">
        <v>0</v>
      </c>
      <c r="I145" s="137">
        <v>0</v>
      </c>
      <c r="J145" s="160">
        <f>K144</f>
        <v>0</v>
      </c>
      <c r="K145" s="161">
        <f>K144-J145</f>
        <v>0</v>
      </c>
      <c r="L145" s="158">
        <f t="shared" si="11"/>
        <v>0</v>
      </c>
    </row>
    <row r="146" spans="1:13" ht="12" outlineLevel="1">
      <c r="H146" s="91"/>
      <c r="I146" s="43"/>
    </row>
    <row r="147" spans="1:13" outlineLevel="1">
      <c r="C147" t="s">
        <v>359</v>
      </c>
      <c r="D147" t="s">
        <v>360</v>
      </c>
      <c r="F147" s="175">
        <f>F104*IF(F97=0, 0, 1/F97)</f>
        <v>0</v>
      </c>
    </row>
    <row r="149" spans="1:13" s="220" customFormat="1">
      <c r="A149" s="220">
        <v>3</v>
      </c>
      <c r="B149" s="221" t="str">
        <f>INDEX(segments,A149)</f>
        <v>SpareSegmentC</v>
      </c>
      <c r="C149" s="207"/>
    </row>
    <row r="150" spans="1:13" hidden="1" outlineLevel="1"/>
    <row r="151" spans="1:13" hidden="1" outlineLevel="1">
      <c r="B151" s="91" t="s">
        <v>311</v>
      </c>
    </row>
    <row r="152" spans="1:13" hidden="1" outlineLevel="1"/>
    <row r="153" spans="1:13" hidden="1" outlineLevel="1">
      <c r="C153" t="s">
        <v>117</v>
      </c>
      <c r="F153" s="137">
        <f>retail.number.subscribers.test.segment3</f>
        <v>0</v>
      </c>
    </row>
    <row r="154" spans="1:13" hidden="1" outlineLevel="1"/>
    <row r="155" spans="1:13" hidden="1" outlineLevel="1"/>
    <row r="156" spans="1:13" ht="34.5" hidden="1" outlineLevel="1">
      <c r="F156" s="121" t="s">
        <v>89</v>
      </c>
      <c r="H156" s="121" t="s">
        <v>287</v>
      </c>
      <c r="I156" s="121" t="s">
        <v>286</v>
      </c>
      <c r="J156" s="121" t="s">
        <v>178</v>
      </c>
      <c r="K156" s="121" t="s">
        <v>291</v>
      </c>
      <c r="L156" s="121" t="s">
        <v>181</v>
      </c>
      <c r="M156" s="121" t="s">
        <v>289</v>
      </c>
    </row>
    <row r="157" spans="1:13" hidden="1" outlineLevel="1"/>
    <row r="158" spans="1:13" hidden="1" outlineLevel="1">
      <c r="C158" t="s">
        <v>344</v>
      </c>
      <c r="D158" t="s">
        <v>347</v>
      </c>
      <c r="H158" s="137">
        <f t="array" ref="H158:M158">WS.access.fees</f>
        <v>0</v>
      </c>
      <c r="I158" s="137">
        <v>0</v>
      </c>
      <c r="J158" s="137">
        <v>0</v>
      </c>
      <c r="K158" s="137">
        <v>0</v>
      </c>
      <c r="L158" s="137">
        <v>0</v>
      </c>
      <c r="M158" s="137">
        <v>0</v>
      </c>
    </row>
    <row r="159" spans="1:13" hidden="1" outlineLevel="1">
      <c r="C159" t="s">
        <v>345</v>
      </c>
      <c r="I159" s="135">
        <f>IF(F153=0, 0, 1)</f>
        <v>0</v>
      </c>
      <c r="K159" s="129">
        <f>IF(F153&gt;H158, 1, 0)</f>
        <v>0</v>
      </c>
      <c r="L159" s="135">
        <f>IF(F153=0, 0, 1)</f>
        <v>0</v>
      </c>
    </row>
    <row r="160" spans="1:13" hidden="1" outlineLevel="1">
      <c r="C160" t="s">
        <v>346</v>
      </c>
      <c r="D160" t="s">
        <v>288</v>
      </c>
      <c r="F160" s="129">
        <f>SUM(H160:M160)</f>
        <v>0</v>
      </c>
      <c r="I160" s="129">
        <f>I158*I159</f>
        <v>0</v>
      </c>
      <c r="K160" s="129">
        <f>K158*K159</f>
        <v>0</v>
      </c>
      <c r="L160" s="129">
        <f>IF(M158=0, 0, L158*L159/M158)</f>
        <v>0</v>
      </c>
    </row>
    <row r="161" spans="2:12" hidden="1" outlineLevel="1">
      <c r="C161" t="s">
        <v>348</v>
      </c>
      <c r="D161" t="s">
        <v>288</v>
      </c>
      <c r="F161" s="157">
        <f>IF(F153=0, 0, F160/F153)</f>
        <v>0</v>
      </c>
    </row>
    <row r="162" spans="2:12" hidden="1" outlineLevel="1"/>
    <row r="163" spans="2:12" hidden="1" outlineLevel="1">
      <c r="B163" s="91" t="s">
        <v>275</v>
      </c>
    </row>
    <row r="164" spans="2:12" hidden="1" outlineLevel="1"/>
    <row r="165" spans="2:12" hidden="1" outlineLevel="1">
      <c r="C165" t="s">
        <v>117</v>
      </c>
      <c r="D165" t="s">
        <v>205</v>
      </c>
      <c r="F165" s="137">
        <f>retail.number.subscribers.test.segment3</f>
        <v>0</v>
      </c>
    </row>
    <row r="166" spans="2:12" hidden="1" outlineLevel="1">
      <c r="C166" t="s">
        <v>349</v>
      </c>
      <c r="D166" t="s">
        <v>350</v>
      </c>
      <c r="F166" s="159">
        <f>(SUMPRODUCT(out.min.per.month.segment.3, subscription.split.segment.3)+SUMPRODUCT(in.min.per.month.segment.3, subscription.split.segment.3))*F165/million</f>
        <v>0</v>
      </c>
    </row>
    <row r="167" spans="2:12" hidden="1" outlineLevel="1">
      <c r="F167" s="159"/>
    </row>
    <row r="168" spans="2:12" hidden="1" outlineLevel="1">
      <c r="C168" t="s">
        <v>351</v>
      </c>
      <c r="D168" t="s">
        <v>288</v>
      </c>
      <c r="F168" s="129">
        <f>F169+F170</f>
        <v>0</v>
      </c>
    </row>
    <row r="169" spans="2:12" hidden="1" outlineLevel="1">
      <c r="C169" t="s">
        <v>352</v>
      </c>
      <c r="D169" t="s">
        <v>288</v>
      </c>
      <c r="F169" s="123">
        <f>F160</f>
        <v>0</v>
      </c>
    </row>
    <row r="170" spans="2:12" hidden="1" outlineLevel="1">
      <c r="C170" t="s">
        <v>353</v>
      </c>
      <c r="D170" t="s">
        <v>288</v>
      </c>
      <c r="F170" s="129">
        <f>IF(wholesale.offer.type.selected=lbl.SP,(output.wholesale.costs.segment.3+output.interconnection.costs.segment.3)*F165,output.wholesale.costs.segment.3*F165)</f>
        <v>0</v>
      </c>
    </row>
    <row r="171" spans="2:12" hidden="1" outlineLevel="1"/>
    <row r="172" spans="2:12" hidden="1" outlineLevel="1">
      <c r="C172" t="s">
        <v>358</v>
      </c>
      <c r="D172" t="s">
        <v>288</v>
      </c>
      <c r="E172" s="91"/>
      <c r="F172" s="163">
        <f>SUM(L175:L213)</f>
        <v>0</v>
      </c>
    </row>
    <row r="173" spans="2:12" hidden="1" outlineLevel="1"/>
    <row r="174" spans="2:12" ht="23" hidden="1" outlineLevel="1">
      <c r="H174" s="109" t="s">
        <v>185</v>
      </c>
      <c r="I174" s="109" t="s">
        <v>186</v>
      </c>
      <c r="J174" s="1" t="s">
        <v>355</v>
      </c>
      <c r="K174" s="1" t="s">
        <v>356</v>
      </c>
      <c r="L174" s="1" t="s">
        <v>357</v>
      </c>
    </row>
    <row r="175" spans="2:12" hidden="1" outlineLevel="1">
      <c r="H175" s="88">
        <f t="array" ref="H175:H213">discount.rebate</f>
        <v>0</v>
      </c>
      <c r="I175" s="137">
        <f t="array" ref="I175:I213">discount.turnover.interval</f>
        <v>0</v>
      </c>
      <c r="J175" s="160">
        <f>MIN(I175, F168)</f>
        <v>0</v>
      </c>
      <c r="K175" s="162">
        <f>F168-J175</f>
        <v>0</v>
      </c>
      <c r="L175" s="158">
        <f>J175*H175</f>
        <v>0</v>
      </c>
    </row>
    <row r="176" spans="2:12" hidden="1" outlineLevel="2">
      <c r="H176" s="88">
        <v>0</v>
      </c>
      <c r="I176" s="137">
        <v>0</v>
      </c>
      <c r="J176" s="158">
        <f>MIN(I176, K175)</f>
        <v>0</v>
      </c>
      <c r="K176" s="161">
        <f>K175-J176</f>
        <v>0</v>
      </c>
      <c r="L176" s="158">
        <f>J176*H176</f>
        <v>0</v>
      </c>
    </row>
    <row r="177" spans="8:12" hidden="1" outlineLevel="2">
      <c r="H177" s="88">
        <v>0</v>
      </c>
      <c r="I177" s="137">
        <v>0</v>
      </c>
      <c r="J177" s="158">
        <f t="shared" ref="J177:J195" si="12">MIN(I177, K176)</f>
        <v>0</v>
      </c>
      <c r="K177" s="161">
        <f t="shared" ref="K177:K195" si="13">K176-J177</f>
        <v>0</v>
      </c>
      <c r="L177" s="158">
        <f t="shared" ref="L177:L195" si="14">J177*H177</f>
        <v>0</v>
      </c>
    </row>
    <row r="178" spans="8:12" hidden="1" outlineLevel="2">
      <c r="H178" s="88">
        <v>0</v>
      </c>
      <c r="I178" s="137">
        <v>0</v>
      </c>
      <c r="J178" s="158">
        <f t="shared" si="12"/>
        <v>0</v>
      </c>
      <c r="K178" s="161">
        <f t="shared" si="13"/>
        <v>0</v>
      </c>
      <c r="L178" s="158">
        <f t="shared" si="14"/>
        <v>0</v>
      </c>
    </row>
    <row r="179" spans="8:12" hidden="1" outlineLevel="2">
      <c r="H179" s="88">
        <v>0</v>
      </c>
      <c r="I179" s="137">
        <v>0</v>
      </c>
      <c r="J179" s="158">
        <f t="shared" si="12"/>
        <v>0</v>
      </c>
      <c r="K179" s="161">
        <f t="shared" si="13"/>
        <v>0</v>
      </c>
      <c r="L179" s="158">
        <f t="shared" si="14"/>
        <v>0</v>
      </c>
    </row>
    <row r="180" spans="8:12" hidden="1" outlineLevel="2">
      <c r="H180" s="88">
        <v>0</v>
      </c>
      <c r="I180" s="137">
        <v>0</v>
      </c>
      <c r="J180" s="158">
        <f t="shared" si="12"/>
        <v>0</v>
      </c>
      <c r="K180" s="161">
        <f t="shared" si="13"/>
        <v>0</v>
      </c>
      <c r="L180" s="158">
        <f t="shared" si="14"/>
        <v>0</v>
      </c>
    </row>
    <row r="181" spans="8:12" hidden="1" outlineLevel="2" collapsed="1">
      <c r="H181" s="88">
        <v>0</v>
      </c>
      <c r="I181" s="137">
        <v>0</v>
      </c>
      <c r="J181" s="158">
        <f t="shared" si="12"/>
        <v>0</v>
      </c>
      <c r="K181" s="161">
        <f t="shared" si="13"/>
        <v>0</v>
      </c>
      <c r="L181" s="158">
        <f t="shared" si="14"/>
        <v>0</v>
      </c>
    </row>
    <row r="182" spans="8:12" ht="12.75" hidden="1" customHeight="1" outlineLevel="2">
      <c r="H182" s="88">
        <v>0</v>
      </c>
      <c r="I182" s="137">
        <v>0</v>
      </c>
      <c r="J182" s="158">
        <f t="shared" si="12"/>
        <v>0</v>
      </c>
      <c r="K182" s="161">
        <f t="shared" si="13"/>
        <v>0</v>
      </c>
      <c r="L182" s="158">
        <f t="shared" si="14"/>
        <v>0</v>
      </c>
    </row>
    <row r="183" spans="8:12" hidden="1" outlineLevel="2">
      <c r="H183" s="88">
        <v>0</v>
      </c>
      <c r="I183" s="137">
        <v>0</v>
      </c>
      <c r="J183" s="158">
        <f t="shared" si="12"/>
        <v>0</v>
      </c>
      <c r="K183" s="161">
        <f t="shared" si="13"/>
        <v>0</v>
      </c>
      <c r="L183" s="158">
        <f t="shared" si="14"/>
        <v>0</v>
      </c>
    </row>
    <row r="184" spans="8:12" hidden="1" outlineLevel="2">
      <c r="H184" s="88">
        <v>0</v>
      </c>
      <c r="I184" s="137">
        <v>0</v>
      </c>
      <c r="J184" s="158">
        <f t="shared" si="12"/>
        <v>0</v>
      </c>
      <c r="K184" s="161">
        <f t="shared" si="13"/>
        <v>0</v>
      </c>
      <c r="L184" s="158">
        <f t="shared" si="14"/>
        <v>0</v>
      </c>
    </row>
    <row r="185" spans="8:12" hidden="1" outlineLevel="2">
      <c r="H185" s="88">
        <v>0</v>
      </c>
      <c r="I185" s="137">
        <v>0</v>
      </c>
      <c r="J185" s="158">
        <f t="shared" si="12"/>
        <v>0</v>
      </c>
      <c r="K185" s="161">
        <f t="shared" si="13"/>
        <v>0</v>
      </c>
      <c r="L185" s="158">
        <f t="shared" si="14"/>
        <v>0</v>
      </c>
    </row>
    <row r="186" spans="8:12" hidden="1" outlineLevel="2">
      <c r="H186" s="88">
        <v>0</v>
      </c>
      <c r="I186" s="137">
        <v>0</v>
      </c>
      <c r="J186" s="158">
        <f t="shared" si="12"/>
        <v>0</v>
      </c>
      <c r="K186" s="161">
        <f t="shared" si="13"/>
        <v>0</v>
      </c>
      <c r="L186" s="158">
        <f t="shared" si="14"/>
        <v>0</v>
      </c>
    </row>
    <row r="187" spans="8:12" hidden="1" outlineLevel="2">
      <c r="H187" s="88">
        <v>0</v>
      </c>
      <c r="I187" s="137">
        <v>0</v>
      </c>
      <c r="J187" s="158">
        <f t="shared" si="12"/>
        <v>0</v>
      </c>
      <c r="K187" s="161">
        <f t="shared" si="13"/>
        <v>0</v>
      </c>
      <c r="L187" s="158">
        <f t="shared" si="14"/>
        <v>0</v>
      </c>
    </row>
    <row r="188" spans="8:12" hidden="1" outlineLevel="2">
      <c r="H188" s="88">
        <v>0</v>
      </c>
      <c r="I188" s="137">
        <v>0</v>
      </c>
      <c r="J188" s="158">
        <f t="shared" si="12"/>
        <v>0</v>
      </c>
      <c r="K188" s="161">
        <f t="shared" si="13"/>
        <v>0</v>
      </c>
      <c r="L188" s="158">
        <f t="shared" si="14"/>
        <v>0</v>
      </c>
    </row>
    <row r="189" spans="8:12" hidden="1" outlineLevel="2">
      <c r="H189" s="88">
        <v>0</v>
      </c>
      <c r="I189" s="137">
        <v>0</v>
      </c>
      <c r="J189" s="158">
        <f t="shared" si="12"/>
        <v>0</v>
      </c>
      <c r="K189" s="161">
        <f t="shared" si="13"/>
        <v>0</v>
      </c>
      <c r="L189" s="158">
        <f t="shared" si="14"/>
        <v>0</v>
      </c>
    </row>
    <row r="190" spans="8:12" hidden="1" outlineLevel="2">
      <c r="H190" s="88">
        <v>0</v>
      </c>
      <c r="I190" s="137">
        <v>0</v>
      </c>
      <c r="J190" s="158">
        <f t="shared" si="12"/>
        <v>0</v>
      </c>
      <c r="K190" s="161">
        <f t="shared" si="13"/>
        <v>0</v>
      </c>
      <c r="L190" s="158">
        <f t="shared" si="14"/>
        <v>0</v>
      </c>
    </row>
    <row r="191" spans="8:12" hidden="1" outlineLevel="2">
      <c r="H191" s="88">
        <v>0</v>
      </c>
      <c r="I191" s="137">
        <v>0</v>
      </c>
      <c r="J191" s="158">
        <f t="shared" si="12"/>
        <v>0</v>
      </c>
      <c r="K191" s="161">
        <f t="shared" si="13"/>
        <v>0</v>
      </c>
      <c r="L191" s="158">
        <f t="shared" si="14"/>
        <v>0</v>
      </c>
    </row>
    <row r="192" spans="8:12" hidden="1" outlineLevel="2">
      <c r="H192" s="88">
        <v>0</v>
      </c>
      <c r="I192" s="137">
        <v>0</v>
      </c>
      <c r="J192" s="158">
        <f t="shared" si="12"/>
        <v>0</v>
      </c>
      <c r="K192" s="161">
        <f t="shared" si="13"/>
        <v>0</v>
      </c>
      <c r="L192" s="158">
        <f t="shared" si="14"/>
        <v>0</v>
      </c>
    </row>
    <row r="193" spans="8:12" hidden="1" outlineLevel="2">
      <c r="H193" s="88">
        <v>0</v>
      </c>
      <c r="I193" s="137">
        <v>0</v>
      </c>
      <c r="J193" s="158">
        <f t="shared" si="12"/>
        <v>0</v>
      </c>
      <c r="K193" s="161">
        <f t="shared" si="13"/>
        <v>0</v>
      </c>
      <c r="L193" s="158">
        <f t="shared" si="14"/>
        <v>0</v>
      </c>
    </row>
    <row r="194" spans="8:12" hidden="1" outlineLevel="2">
      <c r="H194" s="88">
        <v>0</v>
      </c>
      <c r="I194" s="137">
        <v>0</v>
      </c>
      <c r="J194" s="158">
        <f t="shared" si="12"/>
        <v>0</v>
      </c>
      <c r="K194" s="161">
        <f t="shared" si="13"/>
        <v>0</v>
      </c>
      <c r="L194" s="158">
        <f t="shared" si="14"/>
        <v>0</v>
      </c>
    </row>
    <row r="195" spans="8:12" hidden="1" outlineLevel="2">
      <c r="H195" s="88">
        <v>0</v>
      </c>
      <c r="I195" s="137">
        <v>0</v>
      </c>
      <c r="J195" s="158">
        <f t="shared" si="12"/>
        <v>0</v>
      </c>
      <c r="K195" s="161">
        <f t="shared" si="13"/>
        <v>0</v>
      </c>
      <c r="L195" s="158">
        <f t="shared" si="14"/>
        <v>0</v>
      </c>
    </row>
    <row r="196" spans="8:12" hidden="1" outlineLevel="2">
      <c r="H196" s="88">
        <v>0</v>
      </c>
      <c r="I196" s="137">
        <v>0</v>
      </c>
      <c r="J196" s="158">
        <f t="shared" ref="J196:J212" si="15">MIN(I196, K195)</f>
        <v>0</v>
      </c>
      <c r="K196" s="161">
        <f t="shared" ref="K196:K212" si="16">K195-J196</f>
        <v>0</v>
      </c>
      <c r="L196" s="158">
        <f t="shared" ref="L196:L213" si="17">J196*H196</f>
        <v>0</v>
      </c>
    </row>
    <row r="197" spans="8:12" hidden="1" outlineLevel="2">
      <c r="H197" s="88">
        <v>0</v>
      </c>
      <c r="I197" s="137">
        <v>0</v>
      </c>
      <c r="J197" s="158">
        <f t="shared" si="15"/>
        <v>0</v>
      </c>
      <c r="K197" s="161">
        <f t="shared" si="16"/>
        <v>0</v>
      </c>
      <c r="L197" s="158">
        <f t="shared" si="17"/>
        <v>0</v>
      </c>
    </row>
    <row r="198" spans="8:12" hidden="1" outlineLevel="2">
      <c r="H198" s="88">
        <v>0</v>
      </c>
      <c r="I198" s="137">
        <v>0</v>
      </c>
      <c r="J198" s="158">
        <f t="shared" si="15"/>
        <v>0</v>
      </c>
      <c r="K198" s="161">
        <f t="shared" si="16"/>
        <v>0</v>
      </c>
      <c r="L198" s="158">
        <f t="shared" si="17"/>
        <v>0</v>
      </c>
    </row>
    <row r="199" spans="8:12" hidden="1" outlineLevel="2">
      <c r="H199" s="88">
        <v>0</v>
      </c>
      <c r="I199" s="137">
        <v>0</v>
      </c>
      <c r="J199" s="158">
        <f t="shared" si="15"/>
        <v>0</v>
      </c>
      <c r="K199" s="161">
        <f t="shared" si="16"/>
        <v>0</v>
      </c>
      <c r="L199" s="158">
        <f t="shared" si="17"/>
        <v>0</v>
      </c>
    </row>
    <row r="200" spans="8:12" hidden="1" outlineLevel="2">
      <c r="H200" s="88">
        <v>0</v>
      </c>
      <c r="I200" s="137">
        <v>0</v>
      </c>
      <c r="J200" s="158">
        <f t="shared" si="15"/>
        <v>0</v>
      </c>
      <c r="K200" s="161">
        <f t="shared" si="16"/>
        <v>0</v>
      </c>
      <c r="L200" s="158">
        <f t="shared" si="17"/>
        <v>0</v>
      </c>
    </row>
    <row r="201" spans="8:12" hidden="1" outlineLevel="2">
      <c r="H201" s="88">
        <v>0</v>
      </c>
      <c r="I201" s="137">
        <v>0</v>
      </c>
      <c r="J201" s="158">
        <f t="shared" si="15"/>
        <v>0</v>
      </c>
      <c r="K201" s="161">
        <f t="shared" si="16"/>
        <v>0</v>
      </c>
      <c r="L201" s="158">
        <f t="shared" si="17"/>
        <v>0</v>
      </c>
    </row>
    <row r="202" spans="8:12" hidden="1" outlineLevel="2">
      <c r="H202" s="88">
        <v>0</v>
      </c>
      <c r="I202" s="137">
        <v>0</v>
      </c>
      <c r="J202" s="158">
        <f t="shared" si="15"/>
        <v>0</v>
      </c>
      <c r="K202" s="161">
        <f t="shared" si="16"/>
        <v>0</v>
      </c>
      <c r="L202" s="158">
        <f t="shared" si="17"/>
        <v>0</v>
      </c>
    </row>
    <row r="203" spans="8:12" hidden="1" outlineLevel="2">
      <c r="H203" s="88">
        <v>0</v>
      </c>
      <c r="I203" s="137">
        <v>0</v>
      </c>
      <c r="J203" s="158">
        <f t="shared" si="15"/>
        <v>0</v>
      </c>
      <c r="K203" s="161">
        <f t="shared" si="16"/>
        <v>0</v>
      </c>
      <c r="L203" s="158">
        <f t="shared" si="17"/>
        <v>0</v>
      </c>
    </row>
    <row r="204" spans="8:12" hidden="1" outlineLevel="2">
      <c r="H204" s="88">
        <v>0</v>
      </c>
      <c r="I204" s="137">
        <v>0</v>
      </c>
      <c r="J204" s="158">
        <f t="shared" si="15"/>
        <v>0</v>
      </c>
      <c r="K204" s="161">
        <f t="shared" si="16"/>
        <v>0</v>
      </c>
      <c r="L204" s="158">
        <f t="shared" si="17"/>
        <v>0</v>
      </c>
    </row>
    <row r="205" spans="8:12" hidden="1" outlineLevel="2">
      <c r="H205" s="88">
        <v>0</v>
      </c>
      <c r="I205" s="137">
        <v>0</v>
      </c>
      <c r="J205" s="158">
        <f t="shared" si="15"/>
        <v>0</v>
      </c>
      <c r="K205" s="161">
        <f t="shared" si="16"/>
        <v>0</v>
      </c>
      <c r="L205" s="158">
        <f t="shared" si="17"/>
        <v>0</v>
      </c>
    </row>
    <row r="206" spans="8:12" hidden="1" outlineLevel="2">
      <c r="H206" s="88">
        <v>0</v>
      </c>
      <c r="I206" s="137">
        <v>0</v>
      </c>
      <c r="J206" s="158">
        <f t="shared" si="15"/>
        <v>0</v>
      </c>
      <c r="K206" s="161">
        <f t="shared" si="16"/>
        <v>0</v>
      </c>
      <c r="L206" s="158">
        <f t="shared" si="17"/>
        <v>0</v>
      </c>
    </row>
    <row r="207" spans="8:12" hidden="1" outlineLevel="2">
      <c r="H207" s="88">
        <v>0</v>
      </c>
      <c r="I207" s="137">
        <v>0</v>
      </c>
      <c r="J207" s="158">
        <f t="shared" si="15"/>
        <v>0</v>
      </c>
      <c r="K207" s="161">
        <f t="shared" si="16"/>
        <v>0</v>
      </c>
      <c r="L207" s="158">
        <f t="shared" si="17"/>
        <v>0</v>
      </c>
    </row>
    <row r="208" spans="8:12" hidden="1" outlineLevel="2">
      <c r="H208" s="88">
        <v>0</v>
      </c>
      <c r="I208" s="137">
        <v>0</v>
      </c>
      <c r="J208" s="158">
        <f t="shared" si="15"/>
        <v>0</v>
      </c>
      <c r="K208" s="161">
        <f t="shared" si="16"/>
        <v>0</v>
      </c>
      <c r="L208" s="158">
        <f t="shared" si="17"/>
        <v>0</v>
      </c>
    </row>
    <row r="209" spans="1:13" hidden="1" outlineLevel="2">
      <c r="H209" s="88">
        <v>0</v>
      </c>
      <c r="I209" s="137">
        <v>0</v>
      </c>
      <c r="J209" s="158">
        <f t="shared" si="15"/>
        <v>0</v>
      </c>
      <c r="K209" s="161">
        <f t="shared" si="16"/>
        <v>0</v>
      </c>
      <c r="L209" s="158">
        <f t="shared" si="17"/>
        <v>0</v>
      </c>
    </row>
    <row r="210" spans="1:13" hidden="1" outlineLevel="2">
      <c r="H210" s="88">
        <v>0</v>
      </c>
      <c r="I210" s="137">
        <v>0</v>
      </c>
      <c r="J210" s="158">
        <f t="shared" si="15"/>
        <v>0</v>
      </c>
      <c r="K210" s="161">
        <f t="shared" si="16"/>
        <v>0</v>
      </c>
      <c r="L210" s="158">
        <f t="shared" si="17"/>
        <v>0</v>
      </c>
    </row>
    <row r="211" spans="1:13" hidden="1" outlineLevel="2">
      <c r="H211" s="88">
        <v>0</v>
      </c>
      <c r="I211" s="137">
        <v>0</v>
      </c>
      <c r="J211" s="158">
        <f t="shared" si="15"/>
        <v>0</v>
      </c>
      <c r="K211" s="161">
        <f t="shared" si="16"/>
        <v>0</v>
      </c>
      <c r="L211" s="158">
        <f t="shared" si="17"/>
        <v>0</v>
      </c>
    </row>
    <row r="212" spans="1:13" hidden="1" outlineLevel="2">
      <c r="H212" s="88">
        <v>0</v>
      </c>
      <c r="I212" s="137">
        <v>0</v>
      </c>
      <c r="J212" s="158">
        <f t="shared" si="15"/>
        <v>0</v>
      </c>
      <c r="K212" s="161">
        <f t="shared" si="16"/>
        <v>0</v>
      </c>
      <c r="L212" s="158">
        <f t="shared" si="17"/>
        <v>0</v>
      </c>
    </row>
    <row r="213" spans="1:13" hidden="1" outlineLevel="1" collapsed="1">
      <c r="H213" s="88">
        <v>0</v>
      </c>
      <c r="I213" s="137">
        <v>0</v>
      </c>
      <c r="J213" s="160">
        <f>K212</f>
        <v>0</v>
      </c>
      <c r="K213" s="161">
        <f>K212-J213</f>
        <v>0</v>
      </c>
      <c r="L213" s="158">
        <f t="shared" si="17"/>
        <v>0</v>
      </c>
    </row>
    <row r="214" spans="1:13" ht="12" hidden="1" outlineLevel="1">
      <c r="H214" s="91"/>
      <c r="I214" s="43"/>
    </row>
    <row r="215" spans="1:13" hidden="1" outlineLevel="1">
      <c r="C215" t="s">
        <v>359</v>
      </c>
      <c r="D215" t="s">
        <v>288</v>
      </c>
      <c r="F215" s="154">
        <f>F172*IF(F165=0, 0, 1/F165)</f>
        <v>0</v>
      </c>
    </row>
    <row r="216" spans="1:13" collapsed="1"/>
    <row r="217" spans="1:13" s="220" customFormat="1">
      <c r="A217" s="220">
        <v>4</v>
      </c>
      <c r="B217" s="221" t="str">
        <f>INDEX(segments,A217)</f>
        <v>SpareSegmentD</v>
      </c>
      <c r="C217" s="207"/>
    </row>
    <row r="218" spans="1:13" hidden="1" outlineLevel="1"/>
    <row r="219" spans="1:13" hidden="1" outlineLevel="1">
      <c r="B219" s="91" t="s">
        <v>311</v>
      </c>
    </row>
    <row r="220" spans="1:13" hidden="1" outlineLevel="1"/>
    <row r="221" spans="1:13" hidden="1" outlineLevel="1">
      <c r="C221" t="s">
        <v>117</v>
      </c>
      <c r="F221" s="137">
        <f>retail.number.subscribers.test.segment4</f>
        <v>0</v>
      </c>
    </row>
    <row r="222" spans="1:13" hidden="1" outlineLevel="1"/>
    <row r="223" spans="1:13" hidden="1" outlineLevel="1"/>
    <row r="224" spans="1:13" ht="34.5" hidden="1" outlineLevel="1">
      <c r="F224" s="121" t="s">
        <v>89</v>
      </c>
      <c r="H224" s="121" t="s">
        <v>287</v>
      </c>
      <c r="I224" s="121" t="s">
        <v>286</v>
      </c>
      <c r="J224" s="121" t="s">
        <v>178</v>
      </c>
      <c r="K224" s="121" t="s">
        <v>291</v>
      </c>
      <c r="L224" s="121" t="s">
        <v>181</v>
      </c>
      <c r="M224" s="121" t="s">
        <v>289</v>
      </c>
    </row>
    <row r="225" spans="2:13" hidden="1" outlineLevel="1"/>
    <row r="226" spans="2:13" hidden="1" outlineLevel="1">
      <c r="C226" t="s">
        <v>344</v>
      </c>
      <c r="D226" t="s">
        <v>347</v>
      </c>
      <c r="H226" s="137">
        <f t="array" ref="H226:M226">WS.access.fees</f>
        <v>0</v>
      </c>
      <c r="I226" s="137">
        <v>0</v>
      </c>
      <c r="J226" s="137">
        <v>0</v>
      </c>
      <c r="K226" s="137">
        <v>0</v>
      </c>
      <c r="L226" s="137">
        <v>0</v>
      </c>
      <c r="M226" s="137">
        <v>0</v>
      </c>
    </row>
    <row r="227" spans="2:13" hidden="1" outlineLevel="1">
      <c r="C227" t="s">
        <v>345</v>
      </c>
      <c r="I227" s="135">
        <f>IF(F221=0, 0, 1)</f>
        <v>0</v>
      </c>
      <c r="K227" s="129">
        <f>IF(F221&gt;H226, 1, 0)</f>
        <v>0</v>
      </c>
      <c r="L227" s="135">
        <f>IF(F221=0, 0, 1)</f>
        <v>0</v>
      </c>
    </row>
    <row r="228" spans="2:13" hidden="1" outlineLevel="1">
      <c r="C228" t="s">
        <v>346</v>
      </c>
      <c r="D228" t="s">
        <v>288</v>
      </c>
      <c r="F228" s="129">
        <f>SUM(H228:M228)</f>
        <v>0</v>
      </c>
      <c r="I228" s="129">
        <f>I226*I227</f>
        <v>0</v>
      </c>
      <c r="K228" s="129">
        <f>K226*K227</f>
        <v>0</v>
      </c>
      <c r="L228" s="129">
        <f>IF(M226=0, 0, L226*L227/M226)</f>
        <v>0</v>
      </c>
    </row>
    <row r="229" spans="2:13" hidden="1" outlineLevel="1">
      <c r="C229" t="s">
        <v>348</v>
      </c>
      <c r="D229" t="s">
        <v>288</v>
      </c>
      <c r="F229" s="157">
        <f>IF(F221=0, 0, F228/F221)</f>
        <v>0</v>
      </c>
    </row>
    <row r="230" spans="2:13" hidden="1" outlineLevel="1"/>
    <row r="231" spans="2:13" hidden="1" outlineLevel="1">
      <c r="B231" s="91" t="s">
        <v>275</v>
      </c>
    </row>
    <row r="232" spans="2:13" hidden="1" outlineLevel="1"/>
    <row r="233" spans="2:13" hidden="1" outlineLevel="1">
      <c r="C233" t="s">
        <v>117</v>
      </c>
      <c r="D233" t="s">
        <v>205</v>
      </c>
      <c r="F233" s="137">
        <f>retail.number.subscribers.test.segment4</f>
        <v>0</v>
      </c>
    </row>
    <row r="234" spans="2:13" hidden="1" outlineLevel="1">
      <c r="C234" t="s">
        <v>349</v>
      </c>
      <c r="D234" t="s">
        <v>350</v>
      </c>
      <c r="F234" s="159">
        <f>(SUMPRODUCT(out.min.per.month.segment.4, subscription.split.segment.4)+SUMPRODUCT(in.min.per.month.segment.4, subscription.split.segment.4))*F233/million</f>
        <v>0</v>
      </c>
    </row>
    <row r="235" spans="2:13" hidden="1" outlineLevel="1">
      <c r="F235" s="159"/>
    </row>
    <row r="236" spans="2:13" hidden="1" outlineLevel="1">
      <c r="C236" t="s">
        <v>351</v>
      </c>
      <c r="D236" t="s">
        <v>288</v>
      </c>
      <c r="F236" s="129">
        <f>F237+F238</f>
        <v>0</v>
      </c>
    </row>
    <row r="237" spans="2:13" hidden="1" outlineLevel="1">
      <c r="C237" t="s">
        <v>352</v>
      </c>
      <c r="D237" t="s">
        <v>288</v>
      </c>
      <c r="F237" s="123">
        <f>F228</f>
        <v>0</v>
      </c>
    </row>
    <row r="238" spans="2:13" hidden="1" outlineLevel="1">
      <c r="C238" t="s">
        <v>353</v>
      </c>
      <c r="D238" t="s">
        <v>288</v>
      </c>
      <c r="F238" s="129">
        <f>IF(wholesale.offer.type.selected=lbl.SP,(output.wholesale.costs.segment.4+output.interconnection.costs.segment.4)*F233,output.wholesale.costs.segment.4*F233)</f>
        <v>0</v>
      </c>
    </row>
    <row r="239" spans="2:13" hidden="1" outlineLevel="1"/>
    <row r="240" spans="2:13" hidden="1" outlineLevel="1">
      <c r="C240" t="s">
        <v>358</v>
      </c>
      <c r="D240" t="s">
        <v>288</v>
      </c>
      <c r="E240" s="91"/>
      <c r="F240" s="163">
        <f>SUM(L243:L281)</f>
        <v>0</v>
      </c>
    </row>
    <row r="241" spans="8:12" hidden="1" outlineLevel="1"/>
    <row r="242" spans="8:12" ht="23" hidden="1" outlineLevel="1">
      <c r="H242" s="109" t="s">
        <v>185</v>
      </c>
      <c r="I242" s="109" t="s">
        <v>186</v>
      </c>
      <c r="J242" s="1" t="s">
        <v>355</v>
      </c>
      <c r="K242" s="1" t="s">
        <v>356</v>
      </c>
      <c r="L242" s="1" t="s">
        <v>357</v>
      </c>
    </row>
    <row r="243" spans="8:12" hidden="1" outlineLevel="1">
      <c r="H243" s="88">
        <f t="array" ref="H243:H281">discount.rebate</f>
        <v>0</v>
      </c>
      <c r="I243" s="137">
        <f t="array" ref="I243:I281">discount.turnover.interval</f>
        <v>0</v>
      </c>
      <c r="J243" s="160">
        <f>MIN(I243, F236)</f>
        <v>0</v>
      </c>
      <c r="K243" s="162">
        <f>F236-J243</f>
        <v>0</v>
      </c>
      <c r="L243" s="158">
        <f>J243*H243</f>
        <v>0</v>
      </c>
    </row>
    <row r="244" spans="8:12" hidden="1" outlineLevel="2">
      <c r="H244" s="88">
        <v>0</v>
      </c>
      <c r="I244" s="137">
        <v>0</v>
      </c>
      <c r="J244" s="158">
        <f>MIN(I244, K243)</f>
        <v>0</v>
      </c>
      <c r="K244" s="161">
        <f>K243-J244</f>
        <v>0</v>
      </c>
      <c r="L244" s="158">
        <f>J244*H244</f>
        <v>0</v>
      </c>
    </row>
    <row r="245" spans="8:12" hidden="1" outlineLevel="2">
      <c r="H245" s="88">
        <v>0</v>
      </c>
      <c r="I245" s="137">
        <v>0</v>
      </c>
      <c r="J245" s="158">
        <f t="shared" ref="J245:J263" si="18">MIN(I245, K244)</f>
        <v>0</v>
      </c>
      <c r="K245" s="161">
        <f t="shared" ref="K245:K263" si="19">K244-J245</f>
        <v>0</v>
      </c>
      <c r="L245" s="158">
        <f t="shared" ref="L245:L263" si="20">J245*H245</f>
        <v>0</v>
      </c>
    </row>
    <row r="246" spans="8:12" hidden="1" outlineLevel="2">
      <c r="H246" s="88">
        <v>0</v>
      </c>
      <c r="I246" s="137">
        <v>0</v>
      </c>
      <c r="J246" s="158">
        <f t="shared" si="18"/>
        <v>0</v>
      </c>
      <c r="K246" s="161">
        <f t="shared" si="19"/>
        <v>0</v>
      </c>
      <c r="L246" s="158">
        <f t="shared" si="20"/>
        <v>0</v>
      </c>
    </row>
    <row r="247" spans="8:12" hidden="1" outlineLevel="2">
      <c r="H247" s="88">
        <v>0</v>
      </c>
      <c r="I247" s="137">
        <v>0</v>
      </c>
      <c r="J247" s="158">
        <f t="shared" si="18"/>
        <v>0</v>
      </c>
      <c r="K247" s="161">
        <f t="shared" si="19"/>
        <v>0</v>
      </c>
      <c r="L247" s="158">
        <f t="shared" si="20"/>
        <v>0</v>
      </c>
    </row>
    <row r="248" spans="8:12" hidden="1" outlineLevel="2">
      <c r="H248" s="88">
        <v>0</v>
      </c>
      <c r="I248" s="137">
        <v>0</v>
      </c>
      <c r="J248" s="158">
        <f t="shared" si="18"/>
        <v>0</v>
      </c>
      <c r="K248" s="161">
        <f t="shared" si="19"/>
        <v>0</v>
      </c>
      <c r="L248" s="158">
        <f t="shared" si="20"/>
        <v>0</v>
      </c>
    </row>
    <row r="249" spans="8:12" hidden="1" outlineLevel="2" collapsed="1">
      <c r="H249" s="88">
        <v>0</v>
      </c>
      <c r="I249" s="137">
        <v>0</v>
      </c>
      <c r="J249" s="158">
        <f t="shared" si="18"/>
        <v>0</v>
      </c>
      <c r="K249" s="161">
        <f t="shared" si="19"/>
        <v>0</v>
      </c>
      <c r="L249" s="158">
        <f t="shared" si="20"/>
        <v>0</v>
      </c>
    </row>
    <row r="250" spans="8:12" ht="12.75" hidden="1" customHeight="1" outlineLevel="2">
      <c r="H250" s="88">
        <v>0</v>
      </c>
      <c r="I250" s="137">
        <v>0</v>
      </c>
      <c r="J250" s="158">
        <f t="shared" si="18"/>
        <v>0</v>
      </c>
      <c r="K250" s="161">
        <f t="shared" si="19"/>
        <v>0</v>
      </c>
      <c r="L250" s="158">
        <f t="shared" si="20"/>
        <v>0</v>
      </c>
    </row>
    <row r="251" spans="8:12" hidden="1" outlineLevel="2">
      <c r="H251" s="88">
        <v>0</v>
      </c>
      <c r="I251" s="137">
        <v>0</v>
      </c>
      <c r="J251" s="158">
        <f t="shared" si="18"/>
        <v>0</v>
      </c>
      <c r="K251" s="161">
        <f t="shared" si="19"/>
        <v>0</v>
      </c>
      <c r="L251" s="158">
        <f t="shared" si="20"/>
        <v>0</v>
      </c>
    </row>
    <row r="252" spans="8:12" hidden="1" outlineLevel="2">
      <c r="H252" s="88">
        <v>0</v>
      </c>
      <c r="I252" s="137">
        <v>0</v>
      </c>
      <c r="J252" s="158">
        <f t="shared" si="18"/>
        <v>0</v>
      </c>
      <c r="K252" s="161">
        <f t="shared" si="19"/>
        <v>0</v>
      </c>
      <c r="L252" s="158">
        <f t="shared" si="20"/>
        <v>0</v>
      </c>
    </row>
    <row r="253" spans="8:12" hidden="1" outlineLevel="2">
      <c r="H253" s="88">
        <v>0</v>
      </c>
      <c r="I253" s="137">
        <v>0</v>
      </c>
      <c r="J253" s="158">
        <f t="shared" si="18"/>
        <v>0</v>
      </c>
      <c r="K253" s="161">
        <f t="shared" si="19"/>
        <v>0</v>
      </c>
      <c r="L253" s="158">
        <f t="shared" si="20"/>
        <v>0</v>
      </c>
    </row>
    <row r="254" spans="8:12" hidden="1" outlineLevel="2">
      <c r="H254" s="88">
        <v>0</v>
      </c>
      <c r="I254" s="137">
        <v>0</v>
      </c>
      <c r="J254" s="158">
        <f t="shared" si="18"/>
        <v>0</v>
      </c>
      <c r="K254" s="161">
        <f t="shared" si="19"/>
        <v>0</v>
      </c>
      <c r="L254" s="158">
        <f t="shared" si="20"/>
        <v>0</v>
      </c>
    </row>
    <row r="255" spans="8:12" hidden="1" outlineLevel="2">
      <c r="H255" s="88">
        <v>0</v>
      </c>
      <c r="I255" s="137">
        <v>0</v>
      </c>
      <c r="J255" s="158">
        <f t="shared" si="18"/>
        <v>0</v>
      </c>
      <c r="K255" s="161">
        <f t="shared" si="19"/>
        <v>0</v>
      </c>
      <c r="L255" s="158">
        <f t="shared" si="20"/>
        <v>0</v>
      </c>
    </row>
    <row r="256" spans="8:12" hidden="1" outlineLevel="2">
      <c r="H256" s="88">
        <v>0</v>
      </c>
      <c r="I256" s="137">
        <v>0</v>
      </c>
      <c r="J256" s="158">
        <f t="shared" si="18"/>
        <v>0</v>
      </c>
      <c r="K256" s="161">
        <f t="shared" si="19"/>
        <v>0</v>
      </c>
      <c r="L256" s="158">
        <f t="shared" si="20"/>
        <v>0</v>
      </c>
    </row>
    <row r="257" spans="8:12" hidden="1" outlineLevel="2">
      <c r="H257" s="88">
        <v>0</v>
      </c>
      <c r="I257" s="137">
        <v>0</v>
      </c>
      <c r="J257" s="158">
        <f t="shared" si="18"/>
        <v>0</v>
      </c>
      <c r="K257" s="161">
        <f t="shared" si="19"/>
        <v>0</v>
      </c>
      <c r="L257" s="158">
        <f t="shared" si="20"/>
        <v>0</v>
      </c>
    </row>
    <row r="258" spans="8:12" hidden="1" outlineLevel="2">
      <c r="H258" s="88">
        <v>0</v>
      </c>
      <c r="I258" s="137">
        <v>0</v>
      </c>
      <c r="J258" s="158">
        <f t="shared" si="18"/>
        <v>0</v>
      </c>
      <c r="K258" s="161">
        <f t="shared" si="19"/>
        <v>0</v>
      </c>
      <c r="L258" s="158">
        <f t="shared" si="20"/>
        <v>0</v>
      </c>
    </row>
    <row r="259" spans="8:12" hidden="1" outlineLevel="2">
      <c r="H259" s="88">
        <v>0</v>
      </c>
      <c r="I259" s="137">
        <v>0</v>
      </c>
      <c r="J259" s="158">
        <f t="shared" si="18"/>
        <v>0</v>
      </c>
      <c r="K259" s="161">
        <f t="shared" si="19"/>
        <v>0</v>
      </c>
      <c r="L259" s="158">
        <f t="shared" si="20"/>
        <v>0</v>
      </c>
    </row>
    <row r="260" spans="8:12" hidden="1" outlineLevel="2">
      <c r="H260" s="88">
        <v>0</v>
      </c>
      <c r="I260" s="137">
        <v>0</v>
      </c>
      <c r="J260" s="158">
        <f t="shared" si="18"/>
        <v>0</v>
      </c>
      <c r="K260" s="161">
        <f t="shared" si="19"/>
        <v>0</v>
      </c>
      <c r="L260" s="158">
        <f t="shared" si="20"/>
        <v>0</v>
      </c>
    </row>
    <row r="261" spans="8:12" hidden="1" outlineLevel="2">
      <c r="H261" s="88">
        <v>0</v>
      </c>
      <c r="I261" s="137">
        <v>0</v>
      </c>
      <c r="J261" s="158">
        <f t="shared" si="18"/>
        <v>0</v>
      </c>
      <c r="K261" s="161">
        <f t="shared" si="19"/>
        <v>0</v>
      </c>
      <c r="L261" s="158">
        <f t="shared" si="20"/>
        <v>0</v>
      </c>
    </row>
    <row r="262" spans="8:12" hidden="1" outlineLevel="2">
      <c r="H262" s="88">
        <v>0</v>
      </c>
      <c r="I262" s="137">
        <v>0</v>
      </c>
      <c r="J262" s="158">
        <f t="shared" si="18"/>
        <v>0</v>
      </c>
      <c r="K262" s="161">
        <f t="shared" si="19"/>
        <v>0</v>
      </c>
      <c r="L262" s="158">
        <f t="shared" si="20"/>
        <v>0</v>
      </c>
    </row>
    <row r="263" spans="8:12" hidden="1" outlineLevel="2">
      <c r="H263" s="88">
        <v>0</v>
      </c>
      <c r="I263" s="137">
        <v>0</v>
      </c>
      <c r="J263" s="158">
        <f t="shared" si="18"/>
        <v>0</v>
      </c>
      <c r="K263" s="161">
        <f t="shared" si="19"/>
        <v>0</v>
      </c>
      <c r="L263" s="158">
        <f t="shared" si="20"/>
        <v>0</v>
      </c>
    </row>
    <row r="264" spans="8:12" hidden="1" outlineLevel="2">
      <c r="H264" s="88">
        <v>0</v>
      </c>
      <c r="I264" s="137">
        <v>0</v>
      </c>
      <c r="J264" s="158">
        <f t="shared" ref="J264:J280" si="21">MIN(I264, K263)</f>
        <v>0</v>
      </c>
      <c r="K264" s="161">
        <f t="shared" ref="K264:K280" si="22">K263-J264</f>
        <v>0</v>
      </c>
      <c r="L264" s="158">
        <f t="shared" ref="L264:L281" si="23">J264*H264</f>
        <v>0</v>
      </c>
    </row>
    <row r="265" spans="8:12" hidden="1" outlineLevel="2">
      <c r="H265" s="88">
        <v>0</v>
      </c>
      <c r="I265" s="137">
        <v>0</v>
      </c>
      <c r="J265" s="158">
        <f t="shared" si="21"/>
        <v>0</v>
      </c>
      <c r="K265" s="161">
        <f t="shared" si="22"/>
        <v>0</v>
      </c>
      <c r="L265" s="158">
        <f t="shared" si="23"/>
        <v>0</v>
      </c>
    </row>
    <row r="266" spans="8:12" hidden="1" outlineLevel="2">
      <c r="H266" s="88">
        <v>0</v>
      </c>
      <c r="I266" s="137">
        <v>0</v>
      </c>
      <c r="J266" s="158">
        <f t="shared" si="21"/>
        <v>0</v>
      </c>
      <c r="K266" s="161">
        <f t="shared" si="22"/>
        <v>0</v>
      </c>
      <c r="L266" s="158">
        <f t="shared" si="23"/>
        <v>0</v>
      </c>
    </row>
    <row r="267" spans="8:12" hidden="1" outlineLevel="2">
      <c r="H267" s="88">
        <v>0</v>
      </c>
      <c r="I267" s="137">
        <v>0</v>
      </c>
      <c r="J267" s="158">
        <f t="shared" si="21"/>
        <v>0</v>
      </c>
      <c r="K267" s="161">
        <f t="shared" si="22"/>
        <v>0</v>
      </c>
      <c r="L267" s="158">
        <f t="shared" si="23"/>
        <v>0</v>
      </c>
    </row>
    <row r="268" spans="8:12" hidden="1" outlineLevel="2">
      <c r="H268" s="88">
        <v>0</v>
      </c>
      <c r="I268" s="137">
        <v>0</v>
      </c>
      <c r="J268" s="158">
        <f t="shared" si="21"/>
        <v>0</v>
      </c>
      <c r="K268" s="161">
        <f t="shared" si="22"/>
        <v>0</v>
      </c>
      <c r="L268" s="158">
        <f t="shared" si="23"/>
        <v>0</v>
      </c>
    </row>
    <row r="269" spans="8:12" hidden="1" outlineLevel="2">
      <c r="H269" s="88">
        <v>0</v>
      </c>
      <c r="I269" s="137">
        <v>0</v>
      </c>
      <c r="J269" s="158">
        <f t="shared" si="21"/>
        <v>0</v>
      </c>
      <c r="K269" s="161">
        <f t="shared" si="22"/>
        <v>0</v>
      </c>
      <c r="L269" s="158">
        <f t="shared" si="23"/>
        <v>0</v>
      </c>
    </row>
    <row r="270" spans="8:12" hidden="1" outlineLevel="2">
      <c r="H270" s="88">
        <v>0</v>
      </c>
      <c r="I270" s="137">
        <v>0</v>
      </c>
      <c r="J270" s="158">
        <f t="shared" si="21"/>
        <v>0</v>
      </c>
      <c r="K270" s="161">
        <f t="shared" si="22"/>
        <v>0</v>
      </c>
      <c r="L270" s="158">
        <f t="shared" si="23"/>
        <v>0</v>
      </c>
    </row>
    <row r="271" spans="8:12" hidden="1" outlineLevel="2">
      <c r="H271" s="88">
        <v>0</v>
      </c>
      <c r="I271" s="137">
        <v>0</v>
      </c>
      <c r="J271" s="158">
        <f t="shared" si="21"/>
        <v>0</v>
      </c>
      <c r="K271" s="161">
        <f t="shared" si="22"/>
        <v>0</v>
      </c>
      <c r="L271" s="158">
        <f t="shared" si="23"/>
        <v>0</v>
      </c>
    </row>
    <row r="272" spans="8:12" hidden="1" outlineLevel="2">
      <c r="H272" s="88">
        <v>0</v>
      </c>
      <c r="I272" s="137">
        <v>0</v>
      </c>
      <c r="J272" s="158">
        <f t="shared" si="21"/>
        <v>0</v>
      </c>
      <c r="K272" s="161">
        <f t="shared" si="22"/>
        <v>0</v>
      </c>
      <c r="L272" s="158">
        <f t="shared" si="23"/>
        <v>0</v>
      </c>
    </row>
    <row r="273" spans="1:12" hidden="1" outlineLevel="2">
      <c r="H273" s="88">
        <v>0</v>
      </c>
      <c r="I273" s="137">
        <v>0</v>
      </c>
      <c r="J273" s="158">
        <f t="shared" si="21"/>
        <v>0</v>
      </c>
      <c r="K273" s="161">
        <f t="shared" si="22"/>
        <v>0</v>
      </c>
      <c r="L273" s="158">
        <f t="shared" si="23"/>
        <v>0</v>
      </c>
    </row>
    <row r="274" spans="1:12" hidden="1" outlineLevel="2">
      <c r="H274" s="88">
        <v>0</v>
      </c>
      <c r="I274" s="137">
        <v>0</v>
      </c>
      <c r="J274" s="158">
        <f t="shared" si="21"/>
        <v>0</v>
      </c>
      <c r="K274" s="161">
        <f t="shared" si="22"/>
        <v>0</v>
      </c>
      <c r="L274" s="158">
        <f t="shared" si="23"/>
        <v>0</v>
      </c>
    </row>
    <row r="275" spans="1:12" hidden="1" outlineLevel="2">
      <c r="H275" s="88">
        <v>0</v>
      </c>
      <c r="I275" s="137">
        <v>0</v>
      </c>
      <c r="J275" s="158">
        <f t="shared" si="21"/>
        <v>0</v>
      </c>
      <c r="K275" s="161">
        <f t="shared" si="22"/>
        <v>0</v>
      </c>
      <c r="L275" s="158">
        <f t="shared" si="23"/>
        <v>0</v>
      </c>
    </row>
    <row r="276" spans="1:12" hidden="1" outlineLevel="2">
      <c r="H276" s="88">
        <v>0</v>
      </c>
      <c r="I276" s="137">
        <v>0</v>
      </c>
      <c r="J276" s="158">
        <f t="shared" si="21"/>
        <v>0</v>
      </c>
      <c r="K276" s="161">
        <f t="shared" si="22"/>
        <v>0</v>
      </c>
      <c r="L276" s="158">
        <f t="shared" si="23"/>
        <v>0</v>
      </c>
    </row>
    <row r="277" spans="1:12" hidden="1" outlineLevel="2">
      <c r="H277" s="88">
        <v>0</v>
      </c>
      <c r="I277" s="137">
        <v>0</v>
      </c>
      <c r="J277" s="158">
        <f t="shared" si="21"/>
        <v>0</v>
      </c>
      <c r="K277" s="161">
        <f t="shared" si="22"/>
        <v>0</v>
      </c>
      <c r="L277" s="158">
        <f t="shared" si="23"/>
        <v>0</v>
      </c>
    </row>
    <row r="278" spans="1:12" hidden="1" outlineLevel="2">
      <c r="H278" s="88">
        <v>0</v>
      </c>
      <c r="I278" s="137">
        <v>0</v>
      </c>
      <c r="J278" s="158">
        <f t="shared" si="21"/>
        <v>0</v>
      </c>
      <c r="K278" s="161">
        <f t="shared" si="22"/>
        <v>0</v>
      </c>
      <c r="L278" s="158">
        <f t="shared" si="23"/>
        <v>0</v>
      </c>
    </row>
    <row r="279" spans="1:12" hidden="1" outlineLevel="2">
      <c r="H279" s="88">
        <v>0</v>
      </c>
      <c r="I279" s="137">
        <v>0</v>
      </c>
      <c r="J279" s="158">
        <f t="shared" si="21"/>
        <v>0</v>
      </c>
      <c r="K279" s="161">
        <f t="shared" si="22"/>
        <v>0</v>
      </c>
      <c r="L279" s="158">
        <f t="shared" si="23"/>
        <v>0</v>
      </c>
    </row>
    <row r="280" spans="1:12" hidden="1" outlineLevel="2">
      <c r="H280" s="88">
        <v>0</v>
      </c>
      <c r="I280" s="137">
        <v>0</v>
      </c>
      <c r="J280" s="158">
        <f t="shared" si="21"/>
        <v>0</v>
      </c>
      <c r="K280" s="161">
        <f t="shared" si="22"/>
        <v>0</v>
      </c>
      <c r="L280" s="158">
        <f t="shared" si="23"/>
        <v>0</v>
      </c>
    </row>
    <row r="281" spans="1:12" hidden="1" outlineLevel="1" collapsed="1">
      <c r="H281" s="88">
        <v>0</v>
      </c>
      <c r="I281" s="137">
        <v>0</v>
      </c>
      <c r="J281" s="160">
        <f>K280</f>
        <v>0</v>
      </c>
      <c r="K281" s="161">
        <f>K280-J281</f>
        <v>0</v>
      </c>
      <c r="L281" s="158">
        <f t="shared" si="23"/>
        <v>0</v>
      </c>
    </row>
    <row r="282" spans="1:12" ht="12" hidden="1" outlineLevel="1">
      <c r="H282" s="91"/>
      <c r="I282" s="43"/>
    </row>
    <row r="283" spans="1:12" hidden="1" outlineLevel="1">
      <c r="C283" t="s">
        <v>359</v>
      </c>
      <c r="D283" t="s">
        <v>288</v>
      </c>
      <c r="F283" s="154">
        <f>F240*IF(F221=0, 0, 1/F221)</f>
        <v>0</v>
      </c>
    </row>
    <row r="284" spans="1:12" collapsed="1"/>
    <row r="285" spans="1:12" ht="15.5">
      <c r="A285" s="36" t="s">
        <v>396</v>
      </c>
    </row>
    <row r="286" spans="1:12" outlineLevel="1"/>
    <row r="287" spans="1:12" outlineLevel="1">
      <c r="B287" s="35" t="s">
        <v>311</v>
      </c>
    </row>
    <row r="288" spans="1:12" outlineLevel="1"/>
    <row r="289" spans="2:13" outlineLevel="1">
      <c r="C289" t="s">
        <v>117</v>
      </c>
      <c r="F289" s="137">
        <f>retail.number.subscribers.test</f>
        <v>180221.55</v>
      </c>
    </row>
    <row r="290" spans="2:13" outlineLevel="1"/>
    <row r="291" spans="2:13" ht="34.5" outlineLevel="1">
      <c r="F291" s="121" t="s">
        <v>89</v>
      </c>
      <c r="H291" s="121" t="s">
        <v>287</v>
      </c>
      <c r="I291" s="121" t="s">
        <v>286</v>
      </c>
      <c r="J291" s="121" t="s">
        <v>178</v>
      </c>
      <c r="K291" s="121" t="s">
        <v>291</v>
      </c>
      <c r="L291" s="121" t="s">
        <v>181</v>
      </c>
      <c r="M291" s="121" t="s">
        <v>289</v>
      </c>
    </row>
    <row r="292" spans="2:13" outlineLevel="1">
      <c r="C292" t="s">
        <v>344</v>
      </c>
      <c r="D292" t="s">
        <v>347</v>
      </c>
      <c r="H292" s="137">
        <f t="array" ref="H292:M292">WS.access.fees</f>
        <v>0</v>
      </c>
      <c r="I292" s="137">
        <v>0</v>
      </c>
      <c r="J292" s="137">
        <v>0</v>
      </c>
      <c r="K292" s="137">
        <v>0</v>
      </c>
      <c r="L292" s="137">
        <v>0</v>
      </c>
      <c r="M292" s="137">
        <v>0</v>
      </c>
    </row>
    <row r="293" spans="2:13" outlineLevel="1">
      <c r="C293" t="s">
        <v>655</v>
      </c>
      <c r="I293" s="135">
        <f>IF(F289=0, 0, 1)</f>
        <v>1</v>
      </c>
      <c r="K293" s="129">
        <f>IF(F289&gt;H292, 1, 0)</f>
        <v>1</v>
      </c>
      <c r="L293" s="135">
        <f>IF(F289=0, 0, 1)</f>
        <v>1</v>
      </c>
    </row>
    <row r="294" spans="2:13" outlineLevel="1">
      <c r="C294" t="s">
        <v>346</v>
      </c>
      <c r="D294" t="s">
        <v>288</v>
      </c>
      <c r="F294" s="129">
        <f>SUM(H294:M294)</f>
        <v>0</v>
      </c>
      <c r="I294" s="129">
        <f>I292*I293</f>
        <v>0</v>
      </c>
      <c r="K294" s="129">
        <f>K292*K293</f>
        <v>0</v>
      </c>
      <c r="L294" s="129">
        <f>IF(M292=0, 0, L292*L293/M292)</f>
        <v>0</v>
      </c>
    </row>
    <row r="295" spans="2:13" outlineLevel="1">
      <c r="C295" t="s">
        <v>348</v>
      </c>
      <c r="D295" t="s">
        <v>288</v>
      </c>
      <c r="F295" s="157">
        <f>IF(F289=0, 0, F294/F289)</f>
        <v>0</v>
      </c>
    </row>
    <row r="296" spans="2:13" outlineLevel="1"/>
    <row r="297" spans="2:13" outlineLevel="1">
      <c r="B297" s="35" t="s">
        <v>275</v>
      </c>
    </row>
    <row r="298" spans="2:13" outlineLevel="1"/>
    <row r="299" spans="2:13" outlineLevel="1">
      <c r="C299" t="s">
        <v>117</v>
      </c>
      <c r="D299" t="s">
        <v>205</v>
      </c>
      <c r="F299" s="137">
        <f>retail.number.subscribers.test</f>
        <v>180221.55</v>
      </c>
    </row>
    <row r="300" spans="2:13" outlineLevel="1">
      <c r="C300" t="s">
        <v>349</v>
      </c>
      <c r="D300" t="s">
        <v>350</v>
      </c>
      <c r="F300" s="159">
        <f>F234+F166+F98+F30</f>
        <v>0</v>
      </c>
    </row>
    <row r="301" spans="2:13" outlineLevel="1">
      <c r="F301" s="159"/>
    </row>
    <row r="302" spans="2:13" outlineLevel="1">
      <c r="C302" t="s">
        <v>351</v>
      </c>
      <c r="D302" t="s">
        <v>288</v>
      </c>
      <c r="F302" s="129">
        <f>F303+F304</f>
        <v>0</v>
      </c>
    </row>
    <row r="303" spans="2:13" outlineLevel="1">
      <c r="C303" t="s">
        <v>656</v>
      </c>
      <c r="D303" t="s">
        <v>288</v>
      </c>
      <c r="F303" s="123">
        <f>F294</f>
        <v>0</v>
      </c>
    </row>
    <row r="304" spans="2:13" outlineLevel="1">
      <c r="C304" t="s">
        <v>353</v>
      </c>
      <c r="D304" t="s">
        <v>288</v>
      </c>
      <c r="F304" s="129">
        <f>output.wholesale.costs.all*F299</f>
        <v>0</v>
      </c>
    </row>
    <row r="305" spans="3:12" outlineLevel="1"/>
    <row r="306" spans="3:12" outlineLevel="1">
      <c r="C306" t="s">
        <v>358</v>
      </c>
      <c r="D306" t="s">
        <v>288</v>
      </c>
      <c r="E306" s="91"/>
      <c r="F306" s="163">
        <f>SUM(L309:L347)</f>
        <v>0</v>
      </c>
    </row>
    <row r="307" spans="3:12" outlineLevel="1"/>
    <row r="308" spans="3:12" ht="23" outlineLevel="1">
      <c r="H308" s="109" t="s">
        <v>185</v>
      </c>
      <c r="I308" s="109" t="s">
        <v>186</v>
      </c>
      <c r="J308" s="1" t="s">
        <v>355</v>
      </c>
      <c r="K308" s="1" t="s">
        <v>356</v>
      </c>
      <c r="L308" s="1" t="s">
        <v>357</v>
      </c>
    </row>
    <row r="309" spans="3:12" outlineLevel="1">
      <c r="H309" s="88">
        <f t="array" ref="H309:H347">discount.rebate</f>
        <v>0</v>
      </c>
      <c r="I309" s="137">
        <f t="array" ref="I309:I347">discount.turnover.interval</f>
        <v>0</v>
      </c>
      <c r="J309" s="160">
        <f>MIN(I309, F302)</f>
        <v>0</v>
      </c>
      <c r="K309" s="162">
        <f>F302-J309</f>
        <v>0</v>
      </c>
      <c r="L309" s="158">
        <f>J309*H309</f>
        <v>0</v>
      </c>
    </row>
    <row r="310" spans="3:12" hidden="1" outlineLevel="2">
      <c r="H310" s="88">
        <v>0</v>
      </c>
      <c r="I310" s="137">
        <v>0</v>
      </c>
      <c r="J310" s="158">
        <f>MIN(I310, K309)</f>
        <v>0</v>
      </c>
      <c r="K310" s="161">
        <f>K309-J310</f>
        <v>0</v>
      </c>
      <c r="L310" s="158">
        <f>J310*H310</f>
        <v>0</v>
      </c>
    </row>
    <row r="311" spans="3:12" hidden="1" outlineLevel="2">
      <c r="H311" s="88">
        <v>0</v>
      </c>
      <c r="I311" s="137">
        <v>0</v>
      </c>
      <c r="J311" s="158">
        <f t="shared" ref="J311:J329" si="24">MIN(I311, K310)</f>
        <v>0</v>
      </c>
      <c r="K311" s="161">
        <f t="shared" ref="K311:K329" si="25">K310-J311</f>
        <v>0</v>
      </c>
      <c r="L311" s="158">
        <f t="shared" ref="L311:L347" si="26">J311*H311</f>
        <v>0</v>
      </c>
    </row>
    <row r="312" spans="3:12" hidden="1" outlineLevel="2">
      <c r="H312" s="88">
        <v>0</v>
      </c>
      <c r="I312" s="137">
        <v>0</v>
      </c>
      <c r="J312" s="158">
        <f t="shared" si="24"/>
        <v>0</v>
      </c>
      <c r="K312" s="161">
        <f t="shared" si="25"/>
        <v>0</v>
      </c>
      <c r="L312" s="158">
        <f t="shared" si="26"/>
        <v>0</v>
      </c>
    </row>
    <row r="313" spans="3:12" hidden="1" outlineLevel="2">
      <c r="H313" s="88">
        <v>0</v>
      </c>
      <c r="I313" s="137">
        <v>0</v>
      </c>
      <c r="J313" s="158">
        <f t="shared" si="24"/>
        <v>0</v>
      </c>
      <c r="K313" s="161">
        <f t="shared" si="25"/>
        <v>0</v>
      </c>
      <c r="L313" s="158">
        <f t="shared" si="26"/>
        <v>0</v>
      </c>
    </row>
    <row r="314" spans="3:12" hidden="1" outlineLevel="2">
      <c r="H314" s="88">
        <v>0</v>
      </c>
      <c r="I314" s="137">
        <v>0</v>
      </c>
      <c r="J314" s="158">
        <f t="shared" si="24"/>
        <v>0</v>
      </c>
      <c r="K314" s="161">
        <f t="shared" si="25"/>
        <v>0</v>
      </c>
      <c r="L314" s="158">
        <f t="shared" si="26"/>
        <v>0</v>
      </c>
    </row>
    <row r="315" spans="3:12" hidden="1" outlineLevel="2" collapsed="1">
      <c r="H315" s="88">
        <v>0</v>
      </c>
      <c r="I315" s="137">
        <v>0</v>
      </c>
      <c r="J315" s="158">
        <f t="shared" si="24"/>
        <v>0</v>
      </c>
      <c r="K315" s="161">
        <f t="shared" si="25"/>
        <v>0</v>
      </c>
      <c r="L315" s="158">
        <f t="shared" si="26"/>
        <v>0</v>
      </c>
    </row>
    <row r="316" spans="3:12" ht="12.75" hidden="1" customHeight="1" outlineLevel="2">
      <c r="H316" s="88">
        <v>0</v>
      </c>
      <c r="I316" s="137">
        <v>0</v>
      </c>
      <c r="J316" s="158">
        <f t="shared" si="24"/>
        <v>0</v>
      </c>
      <c r="K316" s="161">
        <f t="shared" si="25"/>
        <v>0</v>
      </c>
      <c r="L316" s="158">
        <f t="shared" si="26"/>
        <v>0</v>
      </c>
    </row>
    <row r="317" spans="3:12" hidden="1" outlineLevel="2">
      <c r="H317" s="88">
        <v>0</v>
      </c>
      <c r="I317" s="137">
        <v>0</v>
      </c>
      <c r="J317" s="158">
        <f t="shared" si="24"/>
        <v>0</v>
      </c>
      <c r="K317" s="161">
        <f t="shared" si="25"/>
        <v>0</v>
      </c>
      <c r="L317" s="158">
        <f t="shared" si="26"/>
        <v>0</v>
      </c>
    </row>
    <row r="318" spans="3:12" hidden="1" outlineLevel="2">
      <c r="H318" s="88">
        <v>0</v>
      </c>
      <c r="I318" s="137">
        <v>0</v>
      </c>
      <c r="J318" s="158">
        <f t="shared" si="24"/>
        <v>0</v>
      </c>
      <c r="K318" s="161">
        <f t="shared" si="25"/>
        <v>0</v>
      </c>
      <c r="L318" s="158">
        <f t="shared" si="26"/>
        <v>0</v>
      </c>
    </row>
    <row r="319" spans="3:12" hidden="1" outlineLevel="2">
      <c r="H319" s="88">
        <v>0</v>
      </c>
      <c r="I319" s="137">
        <v>0</v>
      </c>
      <c r="J319" s="158">
        <f t="shared" si="24"/>
        <v>0</v>
      </c>
      <c r="K319" s="161">
        <f t="shared" si="25"/>
        <v>0</v>
      </c>
      <c r="L319" s="158">
        <f t="shared" si="26"/>
        <v>0</v>
      </c>
    </row>
    <row r="320" spans="3:12" hidden="1" outlineLevel="2">
      <c r="H320" s="88">
        <v>0</v>
      </c>
      <c r="I320" s="137">
        <v>0</v>
      </c>
      <c r="J320" s="158">
        <f t="shared" si="24"/>
        <v>0</v>
      </c>
      <c r="K320" s="161">
        <f t="shared" si="25"/>
        <v>0</v>
      </c>
      <c r="L320" s="158">
        <f t="shared" si="26"/>
        <v>0</v>
      </c>
    </row>
    <row r="321" spans="8:12" hidden="1" outlineLevel="2">
      <c r="H321" s="88">
        <v>0</v>
      </c>
      <c r="I321" s="137">
        <v>0</v>
      </c>
      <c r="J321" s="158">
        <f t="shared" si="24"/>
        <v>0</v>
      </c>
      <c r="K321" s="161">
        <f t="shared" si="25"/>
        <v>0</v>
      </c>
      <c r="L321" s="158">
        <f t="shared" si="26"/>
        <v>0</v>
      </c>
    </row>
    <row r="322" spans="8:12" hidden="1" outlineLevel="2">
      <c r="H322" s="88">
        <v>0</v>
      </c>
      <c r="I322" s="137">
        <v>0</v>
      </c>
      <c r="J322" s="158">
        <f t="shared" si="24"/>
        <v>0</v>
      </c>
      <c r="K322" s="161">
        <f t="shared" si="25"/>
        <v>0</v>
      </c>
      <c r="L322" s="158">
        <f t="shared" si="26"/>
        <v>0</v>
      </c>
    </row>
    <row r="323" spans="8:12" hidden="1" outlineLevel="2">
      <c r="H323" s="88">
        <v>0</v>
      </c>
      <c r="I323" s="137">
        <v>0</v>
      </c>
      <c r="J323" s="158">
        <f t="shared" si="24"/>
        <v>0</v>
      </c>
      <c r="K323" s="161">
        <f t="shared" si="25"/>
        <v>0</v>
      </c>
      <c r="L323" s="158">
        <f t="shared" si="26"/>
        <v>0</v>
      </c>
    </row>
    <row r="324" spans="8:12" hidden="1" outlineLevel="2">
      <c r="H324" s="88">
        <v>0</v>
      </c>
      <c r="I324" s="137">
        <v>0</v>
      </c>
      <c r="J324" s="158">
        <f t="shared" si="24"/>
        <v>0</v>
      </c>
      <c r="K324" s="161">
        <f t="shared" si="25"/>
        <v>0</v>
      </c>
      <c r="L324" s="158">
        <f t="shared" si="26"/>
        <v>0</v>
      </c>
    </row>
    <row r="325" spans="8:12" hidden="1" outlineLevel="2">
      <c r="H325" s="88">
        <v>0</v>
      </c>
      <c r="I325" s="137">
        <v>0</v>
      </c>
      <c r="J325" s="158">
        <f t="shared" si="24"/>
        <v>0</v>
      </c>
      <c r="K325" s="161">
        <f t="shared" si="25"/>
        <v>0</v>
      </c>
      <c r="L325" s="158">
        <f t="shared" si="26"/>
        <v>0</v>
      </c>
    </row>
    <row r="326" spans="8:12" hidden="1" outlineLevel="2">
      <c r="H326" s="88">
        <v>0</v>
      </c>
      <c r="I326" s="137">
        <v>0</v>
      </c>
      <c r="J326" s="158">
        <f t="shared" si="24"/>
        <v>0</v>
      </c>
      <c r="K326" s="161">
        <f t="shared" si="25"/>
        <v>0</v>
      </c>
      <c r="L326" s="158">
        <f t="shared" si="26"/>
        <v>0</v>
      </c>
    </row>
    <row r="327" spans="8:12" hidden="1" outlineLevel="2">
      <c r="H327" s="88">
        <v>0</v>
      </c>
      <c r="I327" s="137">
        <v>0</v>
      </c>
      <c r="J327" s="158">
        <f t="shared" si="24"/>
        <v>0</v>
      </c>
      <c r="K327" s="161">
        <f t="shared" si="25"/>
        <v>0</v>
      </c>
      <c r="L327" s="158">
        <f t="shared" si="26"/>
        <v>0</v>
      </c>
    </row>
    <row r="328" spans="8:12" hidden="1" outlineLevel="2">
      <c r="H328" s="88">
        <v>0</v>
      </c>
      <c r="I328" s="137">
        <v>0</v>
      </c>
      <c r="J328" s="158">
        <f t="shared" si="24"/>
        <v>0</v>
      </c>
      <c r="K328" s="161">
        <f t="shared" si="25"/>
        <v>0</v>
      </c>
      <c r="L328" s="158">
        <f t="shared" si="26"/>
        <v>0</v>
      </c>
    </row>
    <row r="329" spans="8:12" hidden="1" outlineLevel="2">
      <c r="H329" s="88">
        <v>0</v>
      </c>
      <c r="I329" s="137">
        <v>0</v>
      </c>
      <c r="J329" s="158">
        <f t="shared" si="24"/>
        <v>0</v>
      </c>
      <c r="K329" s="161">
        <f t="shared" si="25"/>
        <v>0</v>
      </c>
      <c r="L329" s="158">
        <f t="shared" si="26"/>
        <v>0</v>
      </c>
    </row>
    <row r="330" spans="8:12" hidden="1" outlineLevel="2">
      <c r="H330" s="88">
        <v>0</v>
      </c>
      <c r="I330" s="137">
        <v>0</v>
      </c>
      <c r="J330" s="158">
        <f t="shared" ref="J330:J346" si="27">MIN(I330, K329)</f>
        <v>0</v>
      </c>
      <c r="K330" s="161">
        <f t="shared" ref="K330:K346" si="28">K329-J330</f>
        <v>0</v>
      </c>
      <c r="L330" s="158">
        <f t="shared" ref="L330:L346" si="29">J330*H330</f>
        <v>0</v>
      </c>
    </row>
    <row r="331" spans="8:12" hidden="1" outlineLevel="2">
      <c r="H331" s="88">
        <v>0</v>
      </c>
      <c r="I331" s="137">
        <v>0</v>
      </c>
      <c r="J331" s="158">
        <f t="shared" si="27"/>
        <v>0</v>
      </c>
      <c r="K331" s="161">
        <f t="shared" si="28"/>
        <v>0</v>
      </c>
      <c r="L331" s="158">
        <f t="shared" si="29"/>
        <v>0</v>
      </c>
    </row>
    <row r="332" spans="8:12" hidden="1" outlineLevel="2">
      <c r="H332" s="88">
        <v>0</v>
      </c>
      <c r="I332" s="137">
        <v>0</v>
      </c>
      <c r="J332" s="158">
        <f t="shared" si="27"/>
        <v>0</v>
      </c>
      <c r="K332" s="161">
        <f t="shared" si="28"/>
        <v>0</v>
      </c>
      <c r="L332" s="158">
        <f t="shared" si="29"/>
        <v>0</v>
      </c>
    </row>
    <row r="333" spans="8:12" hidden="1" outlineLevel="2">
      <c r="H333" s="88">
        <v>0</v>
      </c>
      <c r="I333" s="137">
        <v>0</v>
      </c>
      <c r="J333" s="158">
        <f t="shared" si="27"/>
        <v>0</v>
      </c>
      <c r="K333" s="161">
        <f t="shared" si="28"/>
        <v>0</v>
      </c>
      <c r="L333" s="158">
        <f t="shared" si="29"/>
        <v>0</v>
      </c>
    </row>
    <row r="334" spans="8:12" hidden="1" outlineLevel="2">
      <c r="H334" s="88">
        <v>0</v>
      </c>
      <c r="I334" s="137">
        <v>0</v>
      </c>
      <c r="J334" s="158">
        <f t="shared" si="27"/>
        <v>0</v>
      </c>
      <c r="K334" s="161">
        <f t="shared" si="28"/>
        <v>0</v>
      </c>
      <c r="L334" s="158">
        <f t="shared" si="29"/>
        <v>0</v>
      </c>
    </row>
    <row r="335" spans="8:12" hidden="1" outlineLevel="2">
      <c r="H335" s="88">
        <v>0</v>
      </c>
      <c r="I335" s="137">
        <v>0</v>
      </c>
      <c r="J335" s="158">
        <f t="shared" si="27"/>
        <v>0</v>
      </c>
      <c r="K335" s="161">
        <f t="shared" si="28"/>
        <v>0</v>
      </c>
      <c r="L335" s="158">
        <f t="shared" si="29"/>
        <v>0</v>
      </c>
    </row>
    <row r="336" spans="8:12" hidden="1" outlineLevel="2">
      <c r="H336" s="88">
        <v>0</v>
      </c>
      <c r="I336" s="137">
        <v>0</v>
      </c>
      <c r="J336" s="158">
        <f t="shared" si="27"/>
        <v>0</v>
      </c>
      <c r="K336" s="161">
        <f t="shared" si="28"/>
        <v>0</v>
      </c>
      <c r="L336" s="158">
        <f t="shared" si="29"/>
        <v>0</v>
      </c>
    </row>
    <row r="337" spans="3:12" hidden="1" outlineLevel="2">
      <c r="H337" s="88">
        <v>0</v>
      </c>
      <c r="I337" s="137">
        <v>0</v>
      </c>
      <c r="J337" s="158">
        <f t="shared" si="27"/>
        <v>0</v>
      </c>
      <c r="K337" s="161">
        <f t="shared" si="28"/>
        <v>0</v>
      </c>
      <c r="L337" s="158">
        <f t="shared" si="29"/>
        <v>0</v>
      </c>
    </row>
    <row r="338" spans="3:12" hidden="1" outlineLevel="2">
      <c r="H338" s="88">
        <v>0</v>
      </c>
      <c r="I338" s="137">
        <v>0</v>
      </c>
      <c r="J338" s="158">
        <f t="shared" si="27"/>
        <v>0</v>
      </c>
      <c r="K338" s="161">
        <f t="shared" si="28"/>
        <v>0</v>
      </c>
      <c r="L338" s="158">
        <f t="shared" si="29"/>
        <v>0</v>
      </c>
    </row>
    <row r="339" spans="3:12" hidden="1" outlineLevel="2">
      <c r="H339" s="88">
        <v>0</v>
      </c>
      <c r="I339" s="137">
        <v>0</v>
      </c>
      <c r="J339" s="158">
        <f t="shared" si="27"/>
        <v>0</v>
      </c>
      <c r="K339" s="161">
        <f t="shared" si="28"/>
        <v>0</v>
      </c>
      <c r="L339" s="158">
        <f t="shared" si="29"/>
        <v>0</v>
      </c>
    </row>
    <row r="340" spans="3:12" hidden="1" outlineLevel="2">
      <c r="H340" s="88">
        <v>0</v>
      </c>
      <c r="I340" s="137">
        <v>0</v>
      </c>
      <c r="J340" s="158">
        <f t="shared" si="27"/>
        <v>0</v>
      </c>
      <c r="K340" s="161">
        <f t="shared" si="28"/>
        <v>0</v>
      </c>
      <c r="L340" s="158">
        <f t="shared" si="29"/>
        <v>0</v>
      </c>
    </row>
    <row r="341" spans="3:12" hidden="1" outlineLevel="2">
      <c r="H341" s="88">
        <v>0</v>
      </c>
      <c r="I341" s="137">
        <v>0</v>
      </c>
      <c r="J341" s="158">
        <f t="shared" si="27"/>
        <v>0</v>
      </c>
      <c r="K341" s="161">
        <f t="shared" si="28"/>
        <v>0</v>
      </c>
      <c r="L341" s="158">
        <f t="shared" si="29"/>
        <v>0</v>
      </c>
    </row>
    <row r="342" spans="3:12" hidden="1" outlineLevel="2">
      <c r="H342" s="88">
        <v>0</v>
      </c>
      <c r="I342" s="137">
        <v>0</v>
      </c>
      <c r="J342" s="158">
        <f t="shared" si="27"/>
        <v>0</v>
      </c>
      <c r="K342" s="161">
        <f t="shared" si="28"/>
        <v>0</v>
      </c>
      <c r="L342" s="158">
        <f t="shared" si="29"/>
        <v>0</v>
      </c>
    </row>
    <row r="343" spans="3:12" hidden="1" outlineLevel="2">
      <c r="H343" s="88">
        <v>0</v>
      </c>
      <c r="I343" s="137">
        <v>0</v>
      </c>
      <c r="J343" s="158">
        <f t="shared" si="27"/>
        <v>0</v>
      </c>
      <c r="K343" s="161">
        <f t="shared" si="28"/>
        <v>0</v>
      </c>
      <c r="L343" s="158">
        <f t="shared" si="29"/>
        <v>0</v>
      </c>
    </row>
    <row r="344" spans="3:12" hidden="1" outlineLevel="2">
      <c r="H344" s="88">
        <v>0</v>
      </c>
      <c r="I344" s="137">
        <v>0</v>
      </c>
      <c r="J344" s="158">
        <f t="shared" si="27"/>
        <v>0</v>
      </c>
      <c r="K344" s="161">
        <f t="shared" si="28"/>
        <v>0</v>
      </c>
      <c r="L344" s="158">
        <f t="shared" si="29"/>
        <v>0</v>
      </c>
    </row>
    <row r="345" spans="3:12" hidden="1" outlineLevel="2">
      <c r="H345" s="88">
        <v>0</v>
      </c>
      <c r="I345" s="137">
        <v>0</v>
      </c>
      <c r="J345" s="158">
        <f t="shared" si="27"/>
        <v>0</v>
      </c>
      <c r="K345" s="161">
        <f t="shared" si="28"/>
        <v>0</v>
      </c>
      <c r="L345" s="158">
        <f t="shared" si="29"/>
        <v>0</v>
      </c>
    </row>
    <row r="346" spans="3:12" hidden="1" outlineLevel="2">
      <c r="H346" s="88">
        <v>0</v>
      </c>
      <c r="I346" s="137">
        <v>0</v>
      </c>
      <c r="J346" s="158">
        <f t="shared" si="27"/>
        <v>0</v>
      </c>
      <c r="K346" s="161">
        <f t="shared" si="28"/>
        <v>0</v>
      </c>
      <c r="L346" s="158">
        <f t="shared" si="29"/>
        <v>0</v>
      </c>
    </row>
    <row r="347" spans="3:12" outlineLevel="1" collapsed="1">
      <c r="H347" s="88">
        <v>0</v>
      </c>
      <c r="I347" s="137">
        <v>0</v>
      </c>
      <c r="J347" s="160">
        <f>K346</f>
        <v>0</v>
      </c>
      <c r="K347" s="161">
        <f>K346-J347</f>
        <v>0</v>
      </c>
      <c r="L347" s="158">
        <f t="shared" si="26"/>
        <v>0</v>
      </c>
    </row>
    <row r="348" spans="3:12" ht="12" outlineLevel="1">
      <c r="H348" s="91"/>
      <c r="I348" s="43"/>
    </row>
    <row r="349" spans="3:12" outlineLevel="1">
      <c r="C349" t="s">
        <v>359</v>
      </c>
      <c r="D349" t="s">
        <v>360</v>
      </c>
      <c r="F349" s="164">
        <f>F306*IF(F299=0, 0, 1/F299)</f>
        <v>0</v>
      </c>
    </row>
    <row r="350" spans="3:12" ht="10.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pageSetUpPr autoPageBreaks="0"/>
  </sheetPr>
  <dimension ref="A1:U1124"/>
  <sheetViews>
    <sheetView showGridLines="0" defaultGridColor="0" colorId="22" zoomScaleNormal="100" workbookViewId="0">
      <pane xSplit="4" ySplit="2" topLeftCell="E3" activePane="bottomRight" state="frozen"/>
      <selection pane="topRight"/>
      <selection pane="bottomLeft"/>
      <selection pane="bottomRight"/>
    </sheetView>
  </sheetViews>
  <sheetFormatPr baseColWidth="10" defaultColWidth="12.69921875" defaultRowHeight="11.5" outlineLevelRow="2"/>
  <cols>
    <col min="1" max="1" width="6.69921875" customWidth="1"/>
    <col min="2" max="2" width="6.09765625" customWidth="1"/>
    <col min="3" max="3" width="15.3984375" customWidth="1"/>
    <col min="4" max="4" width="26.3984375" customWidth="1"/>
    <col min="5" max="5" width="3.09765625" customWidth="1"/>
    <col min="6" max="6" width="17.59765625" customWidth="1"/>
    <col min="7" max="7" width="16.19921875" bestFit="1" customWidth="1"/>
    <col min="8" max="8" width="15.09765625" bestFit="1" customWidth="1"/>
    <col min="10" max="10" width="12.69921875" customWidth="1"/>
    <col min="12" max="12" width="16.09765625" customWidth="1"/>
    <col min="13" max="14" width="15.69921875" customWidth="1"/>
    <col min="15" max="15" width="16.09765625" customWidth="1"/>
  </cols>
  <sheetData>
    <row r="1" spans="1:7" s="84" customFormat="1" ht="33.75" customHeight="1">
      <c r="D1" s="84" t="s">
        <v>326</v>
      </c>
      <c r="F1"/>
    </row>
    <row r="3" spans="1:7" ht="15.5">
      <c r="A3" s="36" t="s">
        <v>7</v>
      </c>
    </row>
    <row r="4" spans="1:7" ht="12">
      <c r="C4" s="91" t="s">
        <v>333</v>
      </c>
      <c r="D4" t="s">
        <v>218</v>
      </c>
      <c r="F4" s="175">
        <f t="array" ref="F4">SUMPRODUCT(F5:F8, segment.split)</f>
        <v>0</v>
      </c>
      <c r="G4" s="43" t="s">
        <v>335</v>
      </c>
    </row>
    <row r="5" spans="1:7" ht="12">
      <c r="C5" s="208" t="str">
        <f t="array" ref="C5:C8">segments</f>
        <v>Residential</v>
      </c>
      <c r="D5" t="s">
        <v>327</v>
      </c>
      <c r="F5" s="299">
        <f>F259</f>
        <v>0</v>
      </c>
      <c r="G5" s="43" t="s">
        <v>235</v>
      </c>
    </row>
    <row r="6" spans="1:7" ht="12">
      <c r="C6" s="208" t="str">
        <v>Business</v>
      </c>
      <c r="D6" t="s">
        <v>218</v>
      </c>
      <c r="F6" s="299">
        <f>F497</f>
        <v>0</v>
      </c>
      <c r="G6" s="43" t="s">
        <v>236</v>
      </c>
    </row>
    <row r="7" spans="1:7" ht="12">
      <c r="C7" s="208" t="str">
        <v>SpareSegmentC</v>
      </c>
      <c r="D7" t="s">
        <v>218</v>
      </c>
      <c r="F7" s="299">
        <f>F735</f>
        <v>0</v>
      </c>
      <c r="G7" s="43" t="s">
        <v>237</v>
      </c>
    </row>
    <row r="8" spans="1:7" ht="12">
      <c r="C8" s="208" t="str">
        <v>SpareSegmentD</v>
      </c>
      <c r="D8" t="s">
        <v>218</v>
      </c>
      <c r="F8" s="299">
        <f>F973</f>
        <v>0</v>
      </c>
      <c r="G8" s="43" t="s">
        <v>238</v>
      </c>
    </row>
    <row r="10" spans="1:7" ht="15.5">
      <c r="A10" s="36" t="s">
        <v>662</v>
      </c>
    </row>
    <row r="11" spans="1:7" ht="12">
      <c r="C11" s="91" t="s">
        <v>333</v>
      </c>
      <c r="D11" t="s">
        <v>218</v>
      </c>
      <c r="F11" s="175">
        <f t="array" ref="F11">SUMPRODUCT(F12:F15, segment.split)</f>
        <v>0</v>
      </c>
      <c r="G11" s="43" t="s">
        <v>670</v>
      </c>
    </row>
    <row r="12" spans="1:7" ht="12">
      <c r="C12" s="208" t="str">
        <f t="array" ref="C12:C15">segments</f>
        <v>Residential</v>
      </c>
      <c r="D12" t="s">
        <v>327</v>
      </c>
      <c r="F12" s="299">
        <f>IF(F219=0,0,F375/F219)</f>
        <v>0</v>
      </c>
      <c r="G12" s="43" t="s">
        <v>663</v>
      </c>
    </row>
    <row r="13" spans="1:7" ht="12">
      <c r="C13" s="208" t="str">
        <v>Business</v>
      </c>
      <c r="D13" t="s">
        <v>218</v>
      </c>
      <c r="F13" s="299">
        <f>IF(F457=0,0,F613/F457)</f>
        <v>0</v>
      </c>
      <c r="G13" s="43" t="s">
        <v>664</v>
      </c>
    </row>
    <row r="14" spans="1:7" ht="12">
      <c r="C14" s="208" t="str">
        <v>SpareSegmentC</v>
      </c>
      <c r="D14" t="s">
        <v>218</v>
      </c>
      <c r="F14" s="299">
        <f>IF(F695=0,0,F851/F695)</f>
        <v>0</v>
      </c>
      <c r="G14" s="43" t="s">
        <v>665</v>
      </c>
    </row>
    <row r="15" spans="1:7" ht="12">
      <c r="C15" s="208" t="str">
        <v>SpareSegmentD</v>
      </c>
      <c r="D15" t="s">
        <v>218</v>
      </c>
      <c r="F15" s="299">
        <f>IF(F933=0,0,F1089/F933)</f>
        <v>0</v>
      </c>
      <c r="G15" s="43" t="s">
        <v>666</v>
      </c>
    </row>
    <row r="17" spans="1:21" ht="15.5">
      <c r="A17" s="36" t="s">
        <v>180</v>
      </c>
    </row>
    <row r="18" spans="1:21" outlineLevel="1"/>
    <row r="19" spans="1:21" outlineLevel="1">
      <c r="C19" s="93" t="s">
        <v>179</v>
      </c>
      <c r="D19" s="96" t="str">
        <f>wholesale.offer.selected</f>
        <v>Spare offer 1</v>
      </c>
    </row>
    <row r="20" spans="1:21" outlineLevel="1"/>
    <row r="21" spans="1:21" outlineLevel="1">
      <c r="C21" s="35" t="s">
        <v>277</v>
      </c>
      <c r="F21" s="95" t="s">
        <v>290</v>
      </c>
    </row>
    <row r="22" spans="1:21" ht="12" customHeight="1" outlineLevel="1">
      <c r="F22" s="101">
        <f>SIM.fee</f>
        <v>0</v>
      </c>
    </row>
    <row r="23" spans="1:21" outlineLevel="1"/>
    <row r="24" spans="1:21" outlineLevel="1">
      <c r="C24" s="35" t="s">
        <v>513</v>
      </c>
      <c r="G24" s="165" t="s">
        <v>314</v>
      </c>
      <c r="H24" s="165"/>
      <c r="I24" s="165"/>
      <c r="J24" s="66"/>
      <c r="K24" s="66"/>
      <c r="L24" s="66"/>
      <c r="M24" s="66"/>
      <c r="O24" s="165" t="s">
        <v>315</v>
      </c>
      <c r="P24" s="165"/>
      <c r="Q24" s="165"/>
      <c r="R24" s="66"/>
      <c r="S24" s="66"/>
      <c r="T24" s="66"/>
      <c r="U24" s="66"/>
    </row>
    <row r="25" spans="1:21" ht="34.5" outlineLevel="1">
      <c r="G25" s="95" t="str">
        <f t="array" ref="G25:M25">TRANSPOSE(voice.destination.plus.in)</f>
        <v>On-net</v>
      </c>
      <c r="H25" s="95" t="str">
        <v>Off-net fixed</v>
      </c>
      <c r="I25" s="95" t="str">
        <v>Off-net mobile</v>
      </c>
      <c r="J25" s="1" t="str">
        <v>International</v>
      </c>
      <c r="K25" s="1" t="str">
        <v>VAS</v>
      </c>
      <c r="L25" s="1" t="str">
        <v>Not used</v>
      </c>
      <c r="M25" s="95" t="str">
        <v>Termination</v>
      </c>
      <c r="O25" s="95" t="str">
        <f t="array" ref="O25:U25">TRANSPOSE(SMS.destination.plus.in)</f>
        <v>On-net</v>
      </c>
      <c r="P25" s="95" t="str">
        <v>Off-net fixed</v>
      </c>
      <c r="Q25" s="95" t="str">
        <v>Off-net mobile</v>
      </c>
      <c r="R25" s="1" t="str">
        <v>International</v>
      </c>
      <c r="S25" s="1" t="str">
        <v>Content messages: BankID</v>
      </c>
      <c r="T25" s="1" t="str">
        <v>Content messages: other</v>
      </c>
      <c r="U25" s="95" t="str">
        <v>Termination</v>
      </c>
    </row>
    <row r="26" spans="1:21" outlineLevel="1">
      <c r="G26" s="140">
        <f t="array" ref="G26:M26">WS.voice.traffic</f>
        <v>0</v>
      </c>
      <c r="H26" s="140">
        <v>0</v>
      </c>
      <c r="I26" s="140">
        <v>0</v>
      </c>
      <c r="J26" s="140">
        <v>0</v>
      </c>
      <c r="K26" s="140">
        <v>0</v>
      </c>
      <c r="L26" s="140">
        <v>0</v>
      </c>
      <c r="M26" s="140">
        <v>0</v>
      </c>
      <c r="O26" s="140">
        <f t="array" ref="O26:U26">WS.SMS.traffic</f>
        <v>0</v>
      </c>
      <c r="P26" s="140">
        <v>0</v>
      </c>
      <c r="Q26" s="140">
        <v>0</v>
      </c>
      <c r="R26" s="140">
        <v>0</v>
      </c>
      <c r="S26" s="140">
        <v>0</v>
      </c>
      <c r="T26" s="140">
        <v>0</v>
      </c>
      <c r="U26" s="140">
        <v>0</v>
      </c>
    </row>
    <row r="27" spans="1:21" outlineLevel="1"/>
    <row r="28" spans="1:21" outlineLevel="1">
      <c r="G28">
        <f t="shared" ref="G28:O28" si="0">MATCH(G30,wholesale.data.tiers,0)</f>
        <v>1</v>
      </c>
      <c r="H28">
        <f t="shared" si="0"/>
        <v>2</v>
      </c>
      <c r="I28">
        <f t="shared" si="0"/>
        <v>3</v>
      </c>
      <c r="J28">
        <f t="shared" si="0"/>
        <v>4</v>
      </c>
      <c r="K28">
        <f t="shared" si="0"/>
        <v>5</v>
      </c>
      <c r="L28">
        <f t="shared" si="0"/>
        <v>6</v>
      </c>
      <c r="M28">
        <f t="shared" si="0"/>
        <v>7</v>
      </c>
      <c r="N28">
        <f t="shared" si="0"/>
        <v>8</v>
      </c>
      <c r="O28">
        <f t="shared" si="0"/>
        <v>9</v>
      </c>
    </row>
    <row r="29" spans="1:21" outlineLevel="1">
      <c r="C29" s="91" t="s">
        <v>681</v>
      </c>
      <c r="G29" s="165" t="s">
        <v>228</v>
      </c>
      <c r="H29" s="165"/>
      <c r="I29" s="165"/>
      <c r="J29" s="165"/>
      <c r="K29" s="165"/>
      <c r="L29" s="165"/>
      <c r="M29" s="165"/>
      <c r="N29" s="165"/>
      <c r="O29" s="174"/>
    </row>
    <row r="30" spans="1:21" ht="23" outlineLevel="1">
      <c r="G30" s="95" t="str">
        <f t="array" ref="G30:O30">TRANSPOSE(wholesale.data.tiers)</f>
        <v>W/S spare tier 1</v>
      </c>
      <c r="H30" s="95" t="str">
        <v>W/S spare tier 2</v>
      </c>
      <c r="I30" s="95" t="str">
        <v>W/S spare tier 3</v>
      </c>
      <c r="J30" s="95" t="str">
        <v>W/S spare tier 4</v>
      </c>
      <c r="K30" s="95" t="str">
        <v>W/S spare tier 5</v>
      </c>
      <c r="L30" s="95" t="str">
        <v>W/S spare tier 6</v>
      </c>
      <c r="M30" s="95" t="str">
        <v>W/S spare tier 7</v>
      </c>
      <c r="N30" s="95" t="str">
        <v>W/S spare tier 8</v>
      </c>
      <c r="O30" s="95" t="str">
        <v>W/S spare tier 9</v>
      </c>
    </row>
    <row r="31" spans="1:21" outlineLevel="1"/>
    <row r="32" spans="1:21" outlineLevel="1">
      <c r="B32" s="238">
        <f t="shared" ref="B32:B66" si="1">MATCH(D32,data.speed.options,0)</f>
        <v>3</v>
      </c>
      <c r="C32" s="73" t="str">
        <f t="array" ref="C32:C66">offers.segment.1</f>
        <v>SpareOfferA1</v>
      </c>
      <c r="D32" s="73" t="str">
        <f t="array" ref="D32:D66">data.speed.options.segment.1</f>
        <v>Unlimited</v>
      </c>
      <c r="G32" s="268" cm="1">
        <f t="array" ref="G32">INDEX(WS.data,1,G$28,$B32)</f>
        <v>0</v>
      </c>
      <c r="H32" s="268" cm="1">
        <f t="array" ref="H32">INDEX(WS.data,1,H$28,$B32)</f>
        <v>0</v>
      </c>
      <c r="I32" s="268" cm="1">
        <f t="array" ref="I32">INDEX(WS.data,1,I$28,$B32)</f>
        <v>0</v>
      </c>
      <c r="J32" s="268" cm="1">
        <f t="array" ref="J32">INDEX(WS.data,1,J$28,$B32)</f>
        <v>0</v>
      </c>
      <c r="K32" s="268" cm="1">
        <f t="array" ref="K32">INDEX(WS.data,1,K$28,$B32)</f>
        <v>0</v>
      </c>
      <c r="L32" s="268" cm="1">
        <f t="array" ref="L32">INDEX(WS.data,1,L$28,$B32)</f>
        <v>0</v>
      </c>
      <c r="M32" s="268" cm="1">
        <f t="array" ref="M32">INDEX(WS.data,1,M$28,$B32)</f>
        <v>0</v>
      </c>
      <c r="N32" s="268" cm="1">
        <f t="array" ref="N32">INDEX(WS.data,1,N$28,$B32)</f>
        <v>0</v>
      </c>
      <c r="O32" s="268" cm="1">
        <f t="array" ref="O32">INDEX(WS.data,1,O$28,$B32)</f>
        <v>0</v>
      </c>
    </row>
    <row r="33" spans="2:15" hidden="1" outlineLevel="2">
      <c r="B33" s="238">
        <f t="shared" si="1"/>
        <v>3</v>
      </c>
      <c r="C33" s="73" t="str">
        <v>SpareOfferA2</v>
      </c>
      <c r="D33" s="73" t="str">
        <v>Unlimited</v>
      </c>
      <c r="G33" s="268" cm="1">
        <f t="array" ref="G33">INDEX(WS.data,1,G$28,$B33)</f>
        <v>0</v>
      </c>
      <c r="H33" s="268" cm="1">
        <f t="array" ref="H33">INDEX(WS.data,1,H$28,$B33)</f>
        <v>0</v>
      </c>
      <c r="I33" s="268" cm="1">
        <f t="array" ref="I33">INDEX(WS.data,1,I$28,$B33)</f>
        <v>0</v>
      </c>
      <c r="J33" s="268" cm="1">
        <f t="array" ref="J33">INDEX(WS.data,1,J$28,$B33)</f>
        <v>0</v>
      </c>
      <c r="K33" s="268" cm="1">
        <f t="array" ref="K33">INDEX(WS.data,1,K$28,$B33)</f>
        <v>0</v>
      </c>
      <c r="L33" s="268" cm="1">
        <f t="array" ref="L33">INDEX(WS.data,1,L$28,$B33)</f>
        <v>0</v>
      </c>
      <c r="M33" s="268" cm="1">
        <f t="array" ref="M33">INDEX(WS.data,1,M$28,$B33)</f>
        <v>0</v>
      </c>
      <c r="N33" s="268" cm="1">
        <f t="array" ref="N33">INDEX(WS.data,1,N$28,$B33)</f>
        <v>0</v>
      </c>
      <c r="O33" s="268" cm="1">
        <f t="array" ref="O33">INDEX(WS.data,1,O$28,$B33)</f>
        <v>0</v>
      </c>
    </row>
    <row r="34" spans="2:15" hidden="1" outlineLevel="2">
      <c r="B34" s="238">
        <f t="shared" si="1"/>
        <v>3</v>
      </c>
      <c r="C34" s="73" t="str">
        <v>SpareOfferA3</v>
      </c>
      <c r="D34" s="73" t="str">
        <v>Unlimited</v>
      </c>
      <c r="G34" s="268" cm="1">
        <f t="array" ref="G34">INDEX(WS.data,1,G$28,$B34)</f>
        <v>0</v>
      </c>
      <c r="H34" s="268" cm="1">
        <f t="array" ref="H34">INDEX(WS.data,1,H$28,$B34)</f>
        <v>0</v>
      </c>
      <c r="I34" s="268" cm="1">
        <f t="array" ref="I34">INDEX(WS.data,1,I$28,$B34)</f>
        <v>0</v>
      </c>
      <c r="J34" s="268" cm="1">
        <f t="array" ref="J34">INDEX(WS.data,1,J$28,$B34)</f>
        <v>0</v>
      </c>
      <c r="K34" s="268" cm="1">
        <f t="array" ref="K34">INDEX(WS.data,1,K$28,$B34)</f>
        <v>0</v>
      </c>
      <c r="L34" s="268" cm="1">
        <f t="array" ref="L34">INDEX(WS.data,1,L$28,$B34)</f>
        <v>0</v>
      </c>
      <c r="M34" s="268" cm="1">
        <f t="array" ref="M34">INDEX(WS.data,1,M$28,$B34)</f>
        <v>0</v>
      </c>
      <c r="N34" s="268" cm="1">
        <f t="array" ref="N34">INDEX(WS.data,1,N$28,$B34)</f>
        <v>0</v>
      </c>
      <c r="O34" s="268" cm="1">
        <f t="array" ref="O34">INDEX(WS.data,1,O$28,$B34)</f>
        <v>0</v>
      </c>
    </row>
    <row r="35" spans="2:15" hidden="1" outlineLevel="2">
      <c r="B35" s="238">
        <f t="shared" si="1"/>
        <v>3</v>
      </c>
      <c r="C35" s="73" t="str">
        <v>SpareOfferA4</v>
      </c>
      <c r="D35" s="73" t="str">
        <v>Unlimited</v>
      </c>
      <c r="G35" s="268" cm="1">
        <f t="array" ref="G35">INDEX(WS.data,1,G$28,$B35)</f>
        <v>0</v>
      </c>
      <c r="H35" s="268" cm="1">
        <f t="array" ref="H35">INDEX(WS.data,1,H$28,$B35)</f>
        <v>0</v>
      </c>
      <c r="I35" s="268" cm="1">
        <f t="array" ref="I35">INDEX(WS.data,1,I$28,$B35)</f>
        <v>0</v>
      </c>
      <c r="J35" s="268" cm="1">
        <f t="array" ref="J35">INDEX(WS.data,1,J$28,$B35)</f>
        <v>0</v>
      </c>
      <c r="K35" s="268" cm="1">
        <f t="array" ref="K35">INDEX(WS.data,1,K$28,$B35)</f>
        <v>0</v>
      </c>
      <c r="L35" s="268" cm="1">
        <f t="array" ref="L35">INDEX(WS.data,1,L$28,$B35)</f>
        <v>0</v>
      </c>
      <c r="M35" s="268" cm="1">
        <f t="array" ref="M35">INDEX(WS.data,1,M$28,$B35)</f>
        <v>0</v>
      </c>
      <c r="N35" s="268" cm="1">
        <f t="array" ref="N35">INDEX(WS.data,1,N$28,$B35)</f>
        <v>0</v>
      </c>
      <c r="O35" s="268" cm="1">
        <f t="array" ref="O35">INDEX(WS.data,1,O$28,$B35)</f>
        <v>0</v>
      </c>
    </row>
    <row r="36" spans="2:15" hidden="1" outlineLevel="2">
      <c r="B36" s="238">
        <f t="shared" si="1"/>
        <v>3</v>
      </c>
      <c r="C36" s="73" t="str">
        <v>SpareOfferA5</v>
      </c>
      <c r="D36" s="73" t="str">
        <v>Unlimited</v>
      </c>
      <c r="G36" s="268" cm="1">
        <f t="array" ref="G36">INDEX(WS.data,1,G$28,$B36)</f>
        <v>0</v>
      </c>
      <c r="H36" s="268" cm="1">
        <f t="array" ref="H36">INDEX(WS.data,1,H$28,$B36)</f>
        <v>0</v>
      </c>
      <c r="I36" s="268" cm="1">
        <f t="array" ref="I36">INDEX(WS.data,1,I$28,$B36)</f>
        <v>0</v>
      </c>
      <c r="J36" s="268" cm="1">
        <f t="array" ref="J36">INDEX(WS.data,1,J$28,$B36)</f>
        <v>0</v>
      </c>
      <c r="K36" s="268" cm="1">
        <f t="array" ref="K36">INDEX(WS.data,1,K$28,$B36)</f>
        <v>0</v>
      </c>
      <c r="L36" s="268" cm="1">
        <f t="array" ref="L36">INDEX(WS.data,1,L$28,$B36)</f>
        <v>0</v>
      </c>
      <c r="M36" s="268" cm="1">
        <f t="array" ref="M36">INDEX(WS.data,1,M$28,$B36)</f>
        <v>0</v>
      </c>
      <c r="N36" s="268" cm="1">
        <f t="array" ref="N36">INDEX(WS.data,1,N$28,$B36)</f>
        <v>0</v>
      </c>
      <c r="O36" s="268" cm="1">
        <f t="array" ref="O36">INDEX(WS.data,1,O$28,$B36)</f>
        <v>0</v>
      </c>
    </row>
    <row r="37" spans="2:15" hidden="1" outlineLevel="2">
      <c r="B37" s="238">
        <f t="shared" si="1"/>
        <v>3</v>
      </c>
      <c r="C37" s="73" t="str">
        <v>SpareOfferA6</v>
      </c>
      <c r="D37" s="73" t="str">
        <v>Unlimited</v>
      </c>
      <c r="G37" s="268" cm="1">
        <f t="array" ref="G37">INDEX(WS.data,1,G$28,$B37)</f>
        <v>0</v>
      </c>
      <c r="H37" s="268" cm="1">
        <f t="array" ref="H37">INDEX(WS.data,1,H$28,$B37)</f>
        <v>0</v>
      </c>
      <c r="I37" s="268" cm="1">
        <f t="array" ref="I37">INDEX(WS.data,1,I$28,$B37)</f>
        <v>0</v>
      </c>
      <c r="J37" s="268" cm="1">
        <f t="array" ref="J37">INDEX(WS.data,1,J$28,$B37)</f>
        <v>0</v>
      </c>
      <c r="K37" s="268" cm="1">
        <f t="array" ref="K37">INDEX(WS.data,1,K$28,$B37)</f>
        <v>0</v>
      </c>
      <c r="L37" s="268" cm="1">
        <f t="array" ref="L37">INDEX(WS.data,1,L$28,$B37)</f>
        <v>0</v>
      </c>
      <c r="M37" s="268" cm="1">
        <f t="array" ref="M37">INDEX(WS.data,1,M$28,$B37)</f>
        <v>0</v>
      </c>
      <c r="N37" s="268" cm="1">
        <f t="array" ref="N37">INDEX(WS.data,1,N$28,$B37)</f>
        <v>0</v>
      </c>
      <c r="O37" s="268" cm="1">
        <f t="array" ref="O37">INDEX(WS.data,1,O$28,$B37)</f>
        <v>0</v>
      </c>
    </row>
    <row r="38" spans="2:15" hidden="1" outlineLevel="2">
      <c r="B38" s="238">
        <f t="shared" si="1"/>
        <v>3</v>
      </c>
      <c r="C38" s="73" t="str">
        <v>SpareOfferA7</v>
      </c>
      <c r="D38" s="73" t="str">
        <v>Unlimited</v>
      </c>
      <c r="G38" s="268" cm="1">
        <f t="array" ref="G38">INDEX(WS.data,1,G$28,$B38)</f>
        <v>0</v>
      </c>
      <c r="H38" s="268" cm="1">
        <f t="array" ref="H38">INDEX(WS.data,1,H$28,$B38)</f>
        <v>0</v>
      </c>
      <c r="I38" s="268" cm="1">
        <f t="array" ref="I38">INDEX(WS.data,1,I$28,$B38)</f>
        <v>0</v>
      </c>
      <c r="J38" s="268" cm="1">
        <f t="array" ref="J38">INDEX(WS.data,1,J$28,$B38)</f>
        <v>0</v>
      </c>
      <c r="K38" s="268" cm="1">
        <f t="array" ref="K38">INDEX(WS.data,1,K$28,$B38)</f>
        <v>0</v>
      </c>
      <c r="L38" s="268" cm="1">
        <f t="array" ref="L38">INDEX(WS.data,1,L$28,$B38)</f>
        <v>0</v>
      </c>
      <c r="M38" s="268" cm="1">
        <f t="array" ref="M38">INDEX(WS.data,1,M$28,$B38)</f>
        <v>0</v>
      </c>
      <c r="N38" s="268" cm="1">
        <f t="array" ref="N38">INDEX(WS.data,1,N$28,$B38)</f>
        <v>0</v>
      </c>
      <c r="O38" s="268" cm="1">
        <f t="array" ref="O38">INDEX(WS.data,1,O$28,$B38)</f>
        <v>0</v>
      </c>
    </row>
    <row r="39" spans="2:15" hidden="1" outlineLevel="2">
      <c r="B39" s="238">
        <f t="shared" si="1"/>
        <v>3</v>
      </c>
      <c r="C39" s="73" t="str">
        <v>SpareOfferA8</v>
      </c>
      <c r="D39" s="73" t="str">
        <v>Unlimited</v>
      </c>
      <c r="G39" s="268" cm="1">
        <f t="array" ref="G39">INDEX(WS.data,1,G$28,$B39)</f>
        <v>0</v>
      </c>
      <c r="H39" s="268" cm="1">
        <f t="array" ref="H39">INDEX(WS.data,1,H$28,$B39)</f>
        <v>0</v>
      </c>
      <c r="I39" s="268" cm="1">
        <f t="array" ref="I39">INDEX(WS.data,1,I$28,$B39)</f>
        <v>0</v>
      </c>
      <c r="J39" s="268" cm="1">
        <f t="array" ref="J39">INDEX(WS.data,1,J$28,$B39)</f>
        <v>0</v>
      </c>
      <c r="K39" s="268" cm="1">
        <f t="array" ref="K39">INDEX(WS.data,1,K$28,$B39)</f>
        <v>0</v>
      </c>
      <c r="L39" s="268" cm="1">
        <f t="array" ref="L39">INDEX(WS.data,1,L$28,$B39)</f>
        <v>0</v>
      </c>
      <c r="M39" s="268" cm="1">
        <f t="array" ref="M39">INDEX(WS.data,1,M$28,$B39)</f>
        <v>0</v>
      </c>
      <c r="N39" s="268" cm="1">
        <f t="array" ref="N39">INDEX(WS.data,1,N$28,$B39)</f>
        <v>0</v>
      </c>
      <c r="O39" s="268" cm="1">
        <f t="array" ref="O39">INDEX(WS.data,1,O$28,$B39)</f>
        <v>0</v>
      </c>
    </row>
    <row r="40" spans="2:15" hidden="1" outlineLevel="2">
      <c r="B40" s="238">
        <f t="shared" si="1"/>
        <v>3</v>
      </c>
      <c r="C40" s="73" t="str">
        <v>SpareOfferA9</v>
      </c>
      <c r="D40" s="73" t="str">
        <v>Unlimited</v>
      </c>
      <c r="G40" s="268" cm="1">
        <f t="array" ref="G40">INDEX(WS.data,1,G$28,$B40)</f>
        <v>0</v>
      </c>
      <c r="H40" s="268" cm="1">
        <f t="array" ref="H40">INDEX(WS.data,1,H$28,$B40)</f>
        <v>0</v>
      </c>
      <c r="I40" s="268" cm="1">
        <f t="array" ref="I40">INDEX(WS.data,1,I$28,$B40)</f>
        <v>0</v>
      </c>
      <c r="J40" s="268" cm="1">
        <f t="array" ref="J40">INDEX(WS.data,1,J$28,$B40)</f>
        <v>0</v>
      </c>
      <c r="K40" s="268" cm="1">
        <f t="array" ref="K40">INDEX(WS.data,1,K$28,$B40)</f>
        <v>0</v>
      </c>
      <c r="L40" s="268" cm="1">
        <f t="array" ref="L40">INDEX(WS.data,1,L$28,$B40)</f>
        <v>0</v>
      </c>
      <c r="M40" s="268" cm="1">
        <f t="array" ref="M40">INDEX(WS.data,1,M$28,$B40)</f>
        <v>0</v>
      </c>
      <c r="N40" s="268" cm="1">
        <f t="array" ref="N40">INDEX(WS.data,1,N$28,$B40)</f>
        <v>0</v>
      </c>
      <c r="O40" s="268" cm="1">
        <f t="array" ref="O40">INDEX(WS.data,1,O$28,$B40)</f>
        <v>0</v>
      </c>
    </row>
    <row r="41" spans="2:15" hidden="1" outlineLevel="2">
      <c r="B41" s="238">
        <f t="shared" si="1"/>
        <v>3</v>
      </c>
      <c r="C41" s="73" t="str">
        <v>SpareOfferA10</v>
      </c>
      <c r="D41" s="73" t="str">
        <v>Unlimited</v>
      </c>
      <c r="G41" s="268" cm="1">
        <f t="array" ref="G41">INDEX(WS.data,1,G$28,$B41)</f>
        <v>0</v>
      </c>
      <c r="H41" s="268" cm="1">
        <f t="array" ref="H41">INDEX(WS.data,1,H$28,$B41)</f>
        <v>0</v>
      </c>
      <c r="I41" s="268" cm="1">
        <f t="array" ref="I41">INDEX(WS.data,1,I$28,$B41)</f>
        <v>0</v>
      </c>
      <c r="J41" s="268" cm="1">
        <f t="array" ref="J41">INDEX(WS.data,1,J$28,$B41)</f>
        <v>0</v>
      </c>
      <c r="K41" s="268" cm="1">
        <f t="array" ref="K41">INDEX(WS.data,1,K$28,$B41)</f>
        <v>0</v>
      </c>
      <c r="L41" s="268" cm="1">
        <f t="array" ref="L41">INDEX(WS.data,1,L$28,$B41)</f>
        <v>0</v>
      </c>
      <c r="M41" s="268" cm="1">
        <f t="array" ref="M41">INDEX(WS.data,1,M$28,$B41)</f>
        <v>0</v>
      </c>
      <c r="N41" s="268" cm="1">
        <f t="array" ref="N41">INDEX(WS.data,1,N$28,$B41)</f>
        <v>0</v>
      </c>
      <c r="O41" s="268" cm="1">
        <f t="array" ref="O41">INDEX(WS.data,1,O$28,$B41)</f>
        <v>0</v>
      </c>
    </row>
    <row r="42" spans="2:15" hidden="1" outlineLevel="2">
      <c r="B42" s="238">
        <f t="shared" si="1"/>
        <v>3</v>
      </c>
      <c r="C42" s="73" t="str">
        <v>SpareOfferA11</v>
      </c>
      <c r="D42" s="73" t="str">
        <v>Unlimited</v>
      </c>
      <c r="G42" s="268" cm="1">
        <f t="array" ref="G42">INDEX(WS.data,1,G$28,$B42)</f>
        <v>0</v>
      </c>
      <c r="H42" s="268" cm="1">
        <f t="array" ref="H42">INDEX(WS.data,1,H$28,$B42)</f>
        <v>0</v>
      </c>
      <c r="I42" s="268" cm="1">
        <f t="array" ref="I42">INDEX(WS.data,1,I$28,$B42)</f>
        <v>0</v>
      </c>
      <c r="J42" s="268" cm="1">
        <f t="array" ref="J42">INDEX(WS.data,1,J$28,$B42)</f>
        <v>0</v>
      </c>
      <c r="K42" s="268" cm="1">
        <f t="array" ref="K42">INDEX(WS.data,1,K$28,$B42)</f>
        <v>0</v>
      </c>
      <c r="L42" s="268" cm="1">
        <f t="array" ref="L42">INDEX(WS.data,1,L$28,$B42)</f>
        <v>0</v>
      </c>
      <c r="M42" s="268" cm="1">
        <f t="array" ref="M42">INDEX(WS.data,1,M$28,$B42)</f>
        <v>0</v>
      </c>
      <c r="N42" s="268" cm="1">
        <f t="array" ref="N42">INDEX(WS.data,1,N$28,$B42)</f>
        <v>0</v>
      </c>
      <c r="O42" s="268" cm="1">
        <f t="array" ref="O42">INDEX(WS.data,1,O$28,$B42)</f>
        <v>0</v>
      </c>
    </row>
    <row r="43" spans="2:15" hidden="1" outlineLevel="2">
      <c r="B43" s="238">
        <f t="shared" si="1"/>
        <v>3</v>
      </c>
      <c r="C43" s="73" t="str">
        <v>SpareOfferA12</v>
      </c>
      <c r="D43" s="73" t="str">
        <v>Unlimited</v>
      </c>
      <c r="G43" s="268" cm="1">
        <f t="array" ref="G43">INDEX(WS.data,1,G$28,$B43)</f>
        <v>0</v>
      </c>
      <c r="H43" s="268" cm="1">
        <f t="array" ref="H43">INDEX(WS.data,1,H$28,$B43)</f>
        <v>0</v>
      </c>
      <c r="I43" s="268" cm="1">
        <f t="array" ref="I43">INDEX(WS.data,1,I$28,$B43)</f>
        <v>0</v>
      </c>
      <c r="J43" s="268" cm="1">
        <f t="array" ref="J43">INDEX(WS.data,1,J$28,$B43)</f>
        <v>0</v>
      </c>
      <c r="K43" s="268" cm="1">
        <f t="array" ref="K43">INDEX(WS.data,1,K$28,$B43)</f>
        <v>0</v>
      </c>
      <c r="L43" s="268" cm="1">
        <f t="array" ref="L43">INDEX(WS.data,1,L$28,$B43)</f>
        <v>0</v>
      </c>
      <c r="M43" s="268" cm="1">
        <f t="array" ref="M43">INDEX(WS.data,1,M$28,$B43)</f>
        <v>0</v>
      </c>
      <c r="N43" s="268" cm="1">
        <f t="array" ref="N43">INDEX(WS.data,1,N$28,$B43)</f>
        <v>0</v>
      </c>
      <c r="O43" s="268" cm="1">
        <f t="array" ref="O43">INDEX(WS.data,1,O$28,$B43)</f>
        <v>0</v>
      </c>
    </row>
    <row r="44" spans="2:15" hidden="1" outlineLevel="2">
      <c r="B44" s="238">
        <f t="shared" si="1"/>
        <v>3</v>
      </c>
      <c r="C44" s="73" t="str">
        <v>SpareOfferA13</v>
      </c>
      <c r="D44" s="73" t="str">
        <v>Unlimited</v>
      </c>
      <c r="G44" s="268" cm="1">
        <f t="array" ref="G44">INDEX(WS.data,1,G$28,$B44)</f>
        <v>0</v>
      </c>
      <c r="H44" s="268" cm="1">
        <f t="array" ref="H44">INDEX(WS.data,1,H$28,$B44)</f>
        <v>0</v>
      </c>
      <c r="I44" s="268" cm="1">
        <f t="array" ref="I44">INDEX(WS.data,1,I$28,$B44)</f>
        <v>0</v>
      </c>
      <c r="J44" s="268" cm="1">
        <f t="array" ref="J44">INDEX(WS.data,1,J$28,$B44)</f>
        <v>0</v>
      </c>
      <c r="K44" s="268" cm="1">
        <f t="array" ref="K44">INDEX(WS.data,1,K$28,$B44)</f>
        <v>0</v>
      </c>
      <c r="L44" s="268" cm="1">
        <f t="array" ref="L44">INDEX(WS.data,1,L$28,$B44)</f>
        <v>0</v>
      </c>
      <c r="M44" s="268" cm="1">
        <f t="array" ref="M44">INDEX(WS.data,1,M$28,$B44)</f>
        <v>0</v>
      </c>
      <c r="N44" s="268" cm="1">
        <f t="array" ref="N44">INDEX(WS.data,1,N$28,$B44)</f>
        <v>0</v>
      </c>
      <c r="O44" s="268" cm="1">
        <f t="array" ref="O44">INDEX(WS.data,1,O$28,$B44)</f>
        <v>0</v>
      </c>
    </row>
    <row r="45" spans="2:15" hidden="1" outlineLevel="2">
      <c r="B45" s="238">
        <f t="shared" si="1"/>
        <v>3</v>
      </c>
      <c r="C45" s="73" t="str">
        <v>SpareOfferA14</v>
      </c>
      <c r="D45" s="73" t="str">
        <v>Unlimited</v>
      </c>
      <c r="G45" s="268" cm="1">
        <f t="array" ref="G45">INDEX(WS.data,1,G$28,$B45)</f>
        <v>0</v>
      </c>
      <c r="H45" s="268" cm="1">
        <f t="array" ref="H45">INDEX(WS.data,1,H$28,$B45)</f>
        <v>0</v>
      </c>
      <c r="I45" s="268" cm="1">
        <f t="array" ref="I45">INDEX(WS.data,1,I$28,$B45)</f>
        <v>0</v>
      </c>
      <c r="J45" s="268" cm="1">
        <f t="array" ref="J45">INDEX(WS.data,1,J$28,$B45)</f>
        <v>0</v>
      </c>
      <c r="K45" s="268" cm="1">
        <f t="array" ref="K45">INDEX(WS.data,1,K$28,$B45)</f>
        <v>0</v>
      </c>
      <c r="L45" s="268" cm="1">
        <f t="array" ref="L45">INDEX(WS.data,1,L$28,$B45)</f>
        <v>0</v>
      </c>
      <c r="M45" s="268" cm="1">
        <f t="array" ref="M45">INDEX(WS.data,1,M$28,$B45)</f>
        <v>0</v>
      </c>
      <c r="N45" s="268" cm="1">
        <f t="array" ref="N45">INDEX(WS.data,1,N$28,$B45)</f>
        <v>0</v>
      </c>
      <c r="O45" s="268" cm="1">
        <f t="array" ref="O45">INDEX(WS.data,1,O$28,$B45)</f>
        <v>0</v>
      </c>
    </row>
    <row r="46" spans="2:15" hidden="1" outlineLevel="2">
      <c r="B46" s="238">
        <f t="shared" si="1"/>
        <v>3</v>
      </c>
      <c r="C46" s="73" t="str">
        <v>SpareOfferA15</v>
      </c>
      <c r="D46" s="73" t="str">
        <v>Unlimited</v>
      </c>
      <c r="G46" s="268" cm="1">
        <f t="array" ref="G46">INDEX(WS.data,1,G$28,$B46)</f>
        <v>0</v>
      </c>
      <c r="H46" s="268" cm="1">
        <f t="array" ref="H46">INDEX(WS.data,1,H$28,$B46)</f>
        <v>0</v>
      </c>
      <c r="I46" s="268" cm="1">
        <f t="array" ref="I46">INDEX(WS.data,1,I$28,$B46)</f>
        <v>0</v>
      </c>
      <c r="J46" s="268" cm="1">
        <f t="array" ref="J46">INDEX(WS.data,1,J$28,$B46)</f>
        <v>0</v>
      </c>
      <c r="K46" s="268" cm="1">
        <f t="array" ref="K46">INDEX(WS.data,1,K$28,$B46)</f>
        <v>0</v>
      </c>
      <c r="L46" s="268" cm="1">
        <f t="array" ref="L46">INDEX(WS.data,1,L$28,$B46)</f>
        <v>0</v>
      </c>
      <c r="M46" s="268" cm="1">
        <f t="array" ref="M46">INDEX(WS.data,1,M$28,$B46)</f>
        <v>0</v>
      </c>
      <c r="N46" s="268" cm="1">
        <f t="array" ref="N46">INDEX(WS.data,1,N$28,$B46)</f>
        <v>0</v>
      </c>
      <c r="O46" s="268" cm="1">
        <f t="array" ref="O46">INDEX(WS.data,1,O$28,$B46)</f>
        <v>0</v>
      </c>
    </row>
    <row r="47" spans="2:15" hidden="1" outlineLevel="2">
      <c r="B47" s="238">
        <f t="shared" si="1"/>
        <v>3</v>
      </c>
      <c r="C47" s="73" t="str">
        <v>SpareOfferA16</v>
      </c>
      <c r="D47" s="73" t="str">
        <v>Unlimited</v>
      </c>
      <c r="G47" s="268" cm="1">
        <f t="array" ref="G47">INDEX(WS.data,1,G$28,$B47)</f>
        <v>0</v>
      </c>
      <c r="H47" s="268" cm="1">
        <f t="array" ref="H47">INDEX(WS.data,1,H$28,$B47)</f>
        <v>0</v>
      </c>
      <c r="I47" s="268" cm="1">
        <f t="array" ref="I47">INDEX(WS.data,1,I$28,$B47)</f>
        <v>0</v>
      </c>
      <c r="J47" s="268" cm="1">
        <f t="array" ref="J47">INDEX(WS.data,1,J$28,$B47)</f>
        <v>0</v>
      </c>
      <c r="K47" s="268" cm="1">
        <f t="array" ref="K47">INDEX(WS.data,1,K$28,$B47)</f>
        <v>0</v>
      </c>
      <c r="L47" s="268" cm="1">
        <f t="array" ref="L47">INDEX(WS.data,1,L$28,$B47)</f>
        <v>0</v>
      </c>
      <c r="M47" s="268" cm="1">
        <f t="array" ref="M47">INDEX(WS.data,1,M$28,$B47)</f>
        <v>0</v>
      </c>
      <c r="N47" s="268" cm="1">
        <f t="array" ref="N47">INDEX(WS.data,1,N$28,$B47)</f>
        <v>0</v>
      </c>
      <c r="O47" s="268" cm="1">
        <f t="array" ref="O47">INDEX(WS.data,1,O$28,$B47)</f>
        <v>0</v>
      </c>
    </row>
    <row r="48" spans="2:15" hidden="1" outlineLevel="2">
      <c r="B48" s="238">
        <f t="shared" si="1"/>
        <v>3</v>
      </c>
      <c r="C48" s="73" t="str">
        <v>SpareOfferA17</v>
      </c>
      <c r="D48" s="73" t="str">
        <v>Unlimited</v>
      </c>
      <c r="G48" s="268" cm="1">
        <f t="array" ref="G48">INDEX(WS.data,1,G$28,$B48)</f>
        <v>0</v>
      </c>
      <c r="H48" s="268" cm="1">
        <f t="array" ref="H48">INDEX(WS.data,1,H$28,$B48)</f>
        <v>0</v>
      </c>
      <c r="I48" s="268" cm="1">
        <f t="array" ref="I48">INDEX(WS.data,1,I$28,$B48)</f>
        <v>0</v>
      </c>
      <c r="J48" s="268" cm="1">
        <f t="array" ref="J48">INDEX(WS.data,1,J$28,$B48)</f>
        <v>0</v>
      </c>
      <c r="K48" s="268" cm="1">
        <f t="array" ref="K48">INDEX(WS.data,1,K$28,$B48)</f>
        <v>0</v>
      </c>
      <c r="L48" s="268" cm="1">
        <f t="array" ref="L48">INDEX(WS.data,1,L$28,$B48)</f>
        <v>0</v>
      </c>
      <c r="M48" s="268" cm="1">
        <f t="array" ref="M48">INDEX(WS.data,1,M$28,$B48)</f>
        <v>0</v>
      </c>
      <c r="N48" s="268" cm="1">
        <f t="array" ref="N48">INDEX(WS.data,1,N$28,$B48)</f>
        <v>0</v>
      </c>
      <c r="O48" s="268" cm="1">
        <f t="array" ref="O48">INDEX(WS.data,1,O$28,$B48)</f>
        <v>0</v>
      </c>
    </row>
    <row r="49" spans="2:15" hidden="1" outlineLevel="2">
      <c r="B49" s="238">
        <f t="shared" si="1"/>
        <v>3</v>
      </c>
      <c r="C49" s="73" t="str">
        <v>SpareOfferA18</v>
      </c>
      <c r="D49" s="73" t="str">
        <v>Unlimited</v>
      </c>
      <c r="G49" s="268" cm="1">
        <f t="array" ref="G49">INDEX(WS.data,1,G$28,$B49)</f>
        <v>0</v>
      </c>
      <c r="H49" s="268" cm="1">
        <f t="array" ref="H49">INDEX(WS.data,1,H$28,$B49)</f>
        <v>0</v>
      </c>
      <c r="I49" s="268" cm="1">
        <f t="array" ref="I49">INDEX(WS.data,1,I$28,$B49)</f>
        <v>0</v>
      </c>
      <c r="J49" s="268" cm="1">
        <f t="array" ref="J49">INDEX(WS.data,1,J$28,$B49)</f>
        <v>0</v>
      </c>
      <c r="K49" s="268" cm="1">
        <f t="array" ref="K49">INDEX(WS.data,1,K$28,$B49)</f>
        <v>0</v>
      </c>
      <c r="L49" s="268" cm="1">
        <f t="array" ref="L49">INDEX(WS.data,1,L$28,$B49)</f>
        <v>0</v>
      </c>
      <c r="M49" s="268" cm="1">
        <f t="array" ref="M49">INDEX(WS.data,1,M$28,$B49)</f>
        <v>0</v>
      </c>
      <c r="N49" s="268" cm="1">
        <f t="array" ref="N49">INDEX(WS.data,1,N$28,$B49)</f>
        <v>0</v>
      </c>
      <c r="O49" s="268" cm="1">
        <f t="array" ref="O49">INDEX(WS.data,1,O$28,$B49)</f>
        <v>0</v>
      </c>
    </row>
    <row r="50" spans="2:15" hidden="1" outlineLevel="2">
      <c r="B50" s="238">
        <f t="shared" si="1"/>
        <v>3</v>
      </c>
      <c r="C50" s="73" t="str">
        <v>SpareOfferA19</v>
      </c>
      <c r="D50" s="73" t="str">
        <v>Unlimited</v>
      </c>
      <c r="G50" s="268" cm="1">
        <f t="array" ref="G50">INDEX(WS.data,1,G$28,$B50)</f>
        <v>0</v>
      </c>
      <c r="H50" s="268" cm="1">
        <f t="array" ref="H50">INDEX(WS.data,1,H$28,$B50)</f>
        <v>0</v>
      </c>
      <c r="I50" s="268" cm="1">
        <f t="array" ref="I50">INDEX(WS.data,1,I$28,$B50)</f>
        <v>0</v>
      </c>
      <c r="J50" s="268" cm="1">
        <f t="array" ref="J50">INDEX(WS.data,1,J$28,$B50)</f>
        <v>0</v>
      </c>
      <c r="K50" s="268" cm="1">
        <f t="array" ref="K50">INDEX(WS.data,1,K$28,$B50)</f>
        <v>0</v>
      </c>
      <c r="L50" s="268" cm="1">
        <f t="array" ref="L50">INDEX(WS.data,1,L$28,$B50)</f>
        <v>0</v>
      </c>
      <c r="M50" s="268" cm="1">
        <f t="array" ref="M50">INDEX(WS.data,1,M$28,$B50)</f>
        <v>0</v>
      </c>
      <c r="N50" s="268" cm="1">
        <f t="array" ref="N50">INDEX(WS.data,1,N$28,$B50)</f>
        <v>0</v>
      </c>
      <c r="O50" s="268" cm="1">
        <f t="array" ref="O50">INDEX(WS.data,1,O$28,$B50)</f>
        <v>0</v>
      </c>
    </row>
    <row r="51" spans="2:15" hidden="1" outlineLevel="2">
      <c r="B51" s="238">
        <f t="shared" si="1"/>
        <v>3</v>
      </c>
      <c r="C51" s="73" t="str">
        <v>SpareOfferA20</v>
      </c>
      <c r="D51" s="73" t="str">
        <v>Unlimited</v>
      </c>
      <c r="G51" s="268" cm="1">
        <f t="array" ref="G51">INDEX(WS.data,1,G$28,$B51)</f>
        <v>0</v>
      </c>
      <c r="H51" s="268" cm="1">
        <f t="array" ref="H51">INDEX(WS.data,1,H$28,$B51)</f>
        <v>0</v>
      </c>
      <c r="I51" s="268" cm="1">
        <f t="array" ref="I51">INDEX(WS.data,1,I$28,$B51)</f>
        <v>0</v>
      </c>
      <c r="J51" s="268" cm="1">
        <f t="array" ref="J51">INDEX(WS.data,1,J$28,$B51)</f>
        <v>0</v>
      </c>
      <c r="K51" s="268" cm="1">
        <f t="array" ref="K51">INDEX(WS.data,1,K$28,$B51)</f>
        <v>0</v>
      </c>
      <c r="L51" s="268" cm="1">
        <f t="array" ref="L51">INDEX(WS.data,1,L$28,$B51)</f>
        <v>0</v>
      </c>
      <c r="M51" s="268" cm="1">
        <f t="array" ref="M51">INDEX(WS.data,1,M$28,$B51)</f>
        <v>0</v>
      </c>
      <c r="N51" s="268" cm="1">
        <f t="array" ref="N51">INDEX(WS.data,1,N$28,$B51)</f>
        <v>0</v>
      </c>
      <c r="O51" s="268" cm="1">
        <f t="array" ref="O51">INDEX(WS.data,1,O$28,$B51)</f>
        <v>0</v>
      </c>
    </row>
    <row r="52" spans="2:15" hidden="1" outlineLevel="2">
      <c r="B52" s="238">
        <f t="shared" si="1"/>
        <v>3</v>
      </c>
      <c r="C52" s="73" t="str">
        <v>SpareOfferA21</v>
      </c>
      <c r="D52" s="73" t="str">
        <v>Unlimited</v>
      </c>
      <c r="G52" s="268" cm="1">
        <f t="array" ref="G52">INDEX(WS.data,1,G$28,$B52)</f>
        <v>0</v>
      </c>
      <c r="H52" s="268" cm="1">
        <f t="array" ref="H52">INDEX(WS.data,1,H$28,$B52)</f>
        <v>0</v>
      </c>
      <c r="I52" s="268" cm="1">
        <f t="array" ref="I52">INDEX(WS.data,1,I$28,$B52)</f>
        <v>0</v>
      </c>
      <c r="J52" s="268" cm="1">
        <f t="array" ref="J52">INDEX(WS.data,1,J$28,$B52)</f>
        <v>0</v>
      </c>
      <c r="K52" s="268" cm="1">
        <f t="array" ref="K52">INDEX(WS.data,1,K$28,$B52)</f>
        <v>0</v>
      </c>
      <c r="L52" s="268" cm="1">
        <f t="array" ref="L52">INDEX(WS.data,1,L$28,$B52)</f>
        <v>0</v>
      </c>
      <c r="M52" s="268" cm="1">
        <f t="array" ref="M52">INDEX(WS.data,1,M$28,$B52)</f>
        <v>0</v>
      </c>
      <c r="N52" s="268" cm="1">
        <f t="array" ref="N52">INDEX(WS.data,1,N$28,$B52)</f>
        <v>0</v>
      </c>
      <c r="O52" s="268" cm="1">
        <f t="array" ref="O52">INDEX(WS.data,1,O$28,$B52)</f>
        <v>0</v>
      </c>
    </row>
    <row r="53" spans="2:15" hidden="1" outlineLevel="2">
      <c r="B53" s="238">
        <f t="shared" si="1"/>
        <v>3</v>
      </c>
      <c r="C53" s="73" t="str">
        <v>SpareOfferA22</v>
      </c>
      <c r="D53" s="73" t="str">
        <v>Unlimited</v>
      </c>
      <c r="G53" s="268" cm="1">
        <f t="array" ref="G53">INDEX(WS.data,1,G$28,$B53)</f>
        <v>0</v>
      </c>
      <c r="H53" s="268" cm="1">
        <f t="array" ref="H53">INDEX(WS.data,1,H$28,$B53)</f>
        <v>0</v>
      </c>
      <c r="I53" s="268" cm="1">
        <f t="array" ref="I53">INDEX(WS.data,1,I$28,$B53)</f>
        <v>0</v>
      </c>
      <c r="J53" s="268" cm="1">
        <f t="array" ref="J53">INDEX(WS.data,1,J$28,$B53)</f>
        <v>0</v>
      </c>
      <c r="K53" s="268" cm="1">
        <f t="array" ref="K53">INDEX(WS.data,1,K$28,$B53)</f>
        <v>0</v>
      </c>
      <c r="L53" s="268" cm="1">
        <f t="array" ref="L53">INDEX(WS.data,1,L$28,$B53)</f>
        <v>0</v>
      </c>
      <c r="M53" s="268" cm="1">
        <f t="array" ref="M53">INDEX(WS.data,1,M$28,$B53)</f>
        <v>0</v>
      </c>
      <c r="N53" s="268" cm="1">
        <f t="array" ref="N53">INDEX(WS.data,1,N$28,$B53)</f>
        <v>0</v>
      </c>
      <c r="O53" s="268" cm="1">
        <f t="array" ref="O53">INDEX(WS.data,1,O$28,$B53)</f>
        <v>0</v>
      </c>
    </row>
    <row r="54" spans="2:15" hidden="1" outlineLevel="2">
      <c r="B54" s="238">
        <f t="shared" si="1"/>
        <v>3</v>
      </c>
      <c r="C54" s="73" t="str">
        <v>SpareOfferA23</v>
      </c>
      <c r="D54" s="73" t="str">
        <v>Unlimited</v>
      </c>
      <c r="G54" s="268" cm="1">
        <f t="array" ref="G54">INDEX(WS.data,1,G$28,$B54)</f>
        <v>0</v>
      </c>
      <c r="H54" s="268" cm="1">
        <f t="array" ref="H54">INDEX(WS.data,1,H$28,$B54)</f>
        <v>0</v>
      </c>
      <c r="I54" s="268" cm="1">
        <f t="array" ref="I54">INDEX(WS.data,1,I$28,$B54)</f>
        <v>0</v>
      </c>
      <c r="J54" s="268" cm="1">
        <f t="array" ref="J54">INDEX(WS.data,1,J$28,$B54)</f>
        <v>0</v>
      </c>
      <c r="K54" s="268" cm="1">
        <f t="array" ref="K54">INDEX(WS.data,1,K$28,$B54)</f>
        <v>0</v>
      </c>
      <c r="L54" s="268" cm="1">
        <f t="array" ref="L54">INDEX(WS.data,1,L$28,$B54)</f>
        <v>0</v>
      </c>
      <c r="M54" s="268" cm="1">
        <f t="array" ref="M54">INDEX(WS.data,1,M$28,$B54)</f>
        <v>0</v>
      </c>
      <c r="N54" s="268" cm="1">
        <f t="array" ref="N54">INDEX(WS.data,1,N$28,$B54)</f>
        <v>0</v>
      </c>
      <c r="O54" s="268" cm="1">
        <f t="array" ref="O54">INDEX(WS.data,1,O$28,$B54)</f>
        <v>0</v>
      </c>
    </row>
    <row r="55" spans="2:15" hidden="1" outlineLevel="2">
      <c r="B55" s="238">
        <f t="shared" si="1"/>
        <v>3</v>
      </c>
      <c r="C55" s="73" t="str">
        <v>SpareOfferA24</v>
      </c>
      <c r="D55" s="73" t="str">
        <v>Unlimited</v>
      </c>
      <c r="G55" s="268" cm="1">
        <f t="array" ref="G55">INDEX(WS.data,1,G$28,$B55)</f>
        <v>0</v>
      </c>
      <c r="H55" s="268" cm="1">
        <f t="array" ref="H55">INDEX(WS.data,1,H$28,$B55)</f>
        <v>0</v>
      </c>
      <c r="I55" s="268" cm="1">
        <f t="array" ref="I55">INDEX(WS.data,1,I$28,$B55)</f>
        <v>0</v>
      </c>
      <c r="J55" s="268" cm="1">
        <f t="array" ref="J55">INDEX(WS.data,1,J$28,$B55)</f>
        <v>0</v>
      </c>
      <c r="K55" s="268" cm="1">
        <f t="array" ref="K55">INDEX(WS.data,1,K$28,$B55)</f>
        <v>0</v>
      </c>
      <c r="L55" s="268" cm="1">
        <f t="array" ref="L55">INDEX(WS.data,1,L$28,$B55)</f>
        <v>0</v>
      </c>
      <c r="M55" s="268" cm="1">
        <f t="array" ref="M55">INDEX(WS.data,1,M$28,$B55)</f>
        <v>0</v>
      </c>
      <c r="N55" s="268" cm="1">
        <f t="array" ref="N55">INDEX(WS.data,1,N$28,$B55)</f>
        <v>0</v>
      </c>
      <c r="O55" s="268" cm="1">
        <f t="array" ref="O55">INDEX(WS.data,1,O$28,$B55)</f>
        <v>0</v>
      </c>
    </row>
    <row r="56" spans="2:15" hidden="1" outlineLevel="2">
      <c r="B56" s="238">
        <f t="shared" si="1"/>
        <v>3</v>
      </c>
      <c r="C56" s="73" t="str">
        <v>SpareOfferA25</v>
      </c>
      <c r="D56" s="73" t="str">
        <v>Unlimited</v>
      </c>
      <c r="G56" s="268" cm="1">
        <f t="array" ref="G56">INDEX(WS.data,1,G$28,$B56)</f>
        <v>0</v>
      </c>
      <c r="H56" s="268" cm="1">
        <f t="array" ref="H56">INDEX(WS.data,1,H$28,$B56)</f>
        <v>0</v>
      </c>
      <c r="I56" s="268" cm="1">
        <f t="array" ref="I56">INDEX(WS.data,1,I$28,$B56)</f>
        <v>0</v>
      </c>
      <c r="J56" s="268" cm="1">
        <f t="array" ref="J56">INDEX(WS.data,1,J$28,$B56)</f>
        <v>0</v>
      </c>
      <c r="K56" s="268" cm="1">
        <f t="array" ref="K56">INDEX(WS.data,1,K$28,$B56)</f>
        <v>0</v>
      </c>
      <c r="L56" s="268" cm="1">
        <f t="array" ref="L56">INDEX(WS.data,1,L$28,$B56)</f>
        <v>0</v>
      </c>
      <c r="M56" s="268" cm="1">
        <f t="array" ref="M56">INDEX(WS.data,1,M$28,$B56)</f>
        <v>0</v>
      </c>
      <c r="N56" s="268" cm="1">
        <f t="array" ref="N56">INDEX(WS.data,1,N$28,$B56)</f>
        <v>0</v>
      </c>
      <c r="O56" s="268" cm="1">
        <f t="array" ref="O56">INDEX(WS.data,1,O$28,$B56)</f>
        <v>0</v>
      </c>
    </row>
    <row r="57" spans="2:15" hidden="1" outlineLevel="2">
      <c r="B57" s="238">
        <f t="shared" si="1"/>
        <v>3</v>
      </c>
      <c r="C57" s="73" t="str">
        <v>SpareOfferA26</v>
      </c>
      <c r="D57" s="73" t="str">
        <v>Unlimited</v>
      </c>
      <c r="G57" s="268" cm="1">
        <f t="array" ref="G57">INDEX(WS.data,1,G$28,$B57)</f>
        <v>0</v>
      </c>
      <c r="H57" s="268" cm="1">
        <f t="array" ref="H57">INDEX(WS.data,1,H$28,$B57)</f>
        <v>0</v>
      </c>
      <c r="I57" s="268" cm="1">
        <f t="array" ref="I57">INDEX(WS.data,1,I$28,$B57)</f>
        <v>0</v>
      </c>
      <c r="J57" s="268" cm="1">
        <f t="array" ref="J57">INDEX(WS.data,1,J$28,$B57)</f>
        <v>0</v>
      </c>
      <c r="K57" s="268" cm="1">
        <f t="array" ref="K57">INDEX(WS.data,1,K$28,$B57)</f>
        <v>0</v>
      </c>
      <c r="L57" s="268" cm="1">
        <f t="array" ref="L57">INDEX(WS.data,1,L$28,$B57)</f>
        <v>0</v>
      </c>
      <c r="M57" s="268" cm="1">
        <f t="array" ref="M57">INDEX(WS.data,1,M$28,$B57)</f>
        <v>0</v>
      </c>
      <c r="N57" s="268" cm="1">
        <f t="array" ref="N57">INDEX(WS.data,1,N$28,$B57)</f>
        <v>0</v>
      </c>
      <c r="O57" s="268" cm="1">
        <f t="array" ref="O57">INDEX(WS.data,1,O$28,$B57)</f>
        <v>0</v>
      </c>
    </row>
    <row r="58" spans="2:15" hidden="1" outlineLevel="2">
      <c r="B58" s="238">
        <f t="shared" si="1"/>
        <v>3</v>
      </c>
      <c r="C58" s="73" t="str">
        <v>SpareOfferA27</v>
      </c>
      <c r="D58" s="73" t="str">
        <v>Unlimited</v>
      </c>
      <c r="G58" s="268" cm="1">
        <f t="array" ref="G58">INDEX(WS.data,1,G$28,$B58)</f>
        <v>0</v>
      </c>
      <c r="H58" s="268" cm="1">
        <f t="array" ref="H58">INDEX(WS.data,1,H$28,$B58)</f>
        <v>0</v>
      </c>
      <c r="I58" s="268" cm="1">
        <f t="array" ref="I58">INDEX(WS.data,1,I$28,$B58)</f>
        <v>0</v>
      </c>
      <c r="J58" s="268" cm="1">
        <f t="array" ref="J58">INDEX(WS.data,1,J$28,$B58)</f>
        <v>0</v>
      </c>
      <c r="K58" s="268" cm="1">
        <f t="array" ref="K58">INDEX(WS.data,1,K$28,$B58)</f>
        <v>0</v>
      </c>
      <c r="L58" s="268" cm="1">
        <f t="array" ref="L58">INDEX(WS.data,1,L$28,$B58)</f>
        <v>0</v>
      </c>
      <c r="M58" s="268" cm="1">
        <f t="array" ref="M58">INDEX(WS.data,1,M$28,$B58)</f>
        <v>0</v>
      </c>
      <c r="N58" s="268" cm="1">
        <f t="array" ref="N58">INDEX(WS.data,1,N$28,$B58)</f>
        <v>0</v>
      </c>
      <c r="O58" s="268" cm="1">
        <f t="array" ref="O58">INDEX(WS.data,1,O$28,$B58)</f>
        <v>0</v>
      </c>
    </row>
    <row r="59" spans="2:15" hidden="1" outlineLevel="2">
      <c r="B59" s="238">
        <f t="shared" si="1"/>
        <v>3</v>
      </c>
      <c r="C59" s="73" t="str">
        <v>SpareOfferA28</v>
      </c>
      <c r="D59" s="73" t="str">
        <v>Unlimited</v>
      </c>
      <c r="G59" s="268" cm="1">
        <f t="array" ref="G59">INDEX(WS.data,1,G$28,$B59)</f>
        <v>0</v>
      </c>
      <c r="H59" s="268" cm="1">
        <f t="array" ref="H59">INDEX(WS.data,1,H$28,$B59)</f>
        <v>0</v>
      </c>
      <c r="I59" s="268" cm="1">
        <f t="array" ref="I59">INDEX(WS.data,1,I$28,$B59)</f>
        <v>0</v>
      </c>
      <c r="J59" s="268" cm="1">
        <f t="array" ref="J59">INDEX(WS.data,1,J$28,$B59)</f>
        <v>0</v>
      </c>
      <c r="K59" s="268" cm="1">
        <f t="array" ref="K59">INDEX(WS.data,1,K$28,$B59)</f>
        <v>0</v>
      </c>
      <c r="L59" s="268" cm="1">
        <f t="array" ref="L59">INDEX(WS.data,1,L$28,$B59)</f>
        <v>0</v>
      </c>
      <c r="M59" s="268" cm="1">
        <f t="array" ref="M59">INDEX(WS.data,1,M$28,$B59)</f>
        <v>0</v>
      </c>
      <c r="N59" s="268" cm="1">
        <f t="array" ref="N59">INDEX(WS.data,1,N$28,$B59)</f>
        <v>0</v>
      </c>
      <c r="O59" s="268" cm="1">
        <f t="array" ref="O59">INDEX(WS.data,1,O$28,$B59)</f>
        <v>0</v>
      </c>
    </row>
    <row r="60" spans="2:15" hidden="1" outlineLevel="2">
      <c r="B60" s="238">
        <f t="shared" si="1"/>
        <v>3</v>
      </c>
      <c r="C60" s="73" t="str">
        <v>SpareOfferA29</v>
      </c>
      <c r="D60" s="73" t="str">
        <v>Unlimited</v>
      </c>
      <c r="G60" s="268" cm="1">
        <f t="array" ref="G60">INDEX(WS.data,1,G$28,$B60)</f>
        <v>0</v>
      </c>
      <c r="H60" s="268" cm="1">
        <f t="array" ref="H60">INDEX(WS.data,1,H$28,$B60)</f>
        <v>0</v>
      </c>
      <c r="I60" s="268" cm="1">
        <f t="array" ref="I60">INDEX(WS.data,1,I$28,$B60)</f>
        <v>0</v>
      </c>
      <c r="J60" s="268" cm="1">
        <f t="array" ref="J60">INDEX(WS.data,1,J$28,$B60)</f>
        <v>0</v>
      </c>
      <c r="K60" s="268" cm="1">
        <f t="array" ref="K60">INDEX(WS.data,1,K$28,$B60)</f>
        <v>0</v>
      </c>
      <c r="L60" s="268" cm="1">
        <f t="array" ref="L60">INDEX(WS.data,1,L$28,$B60)</f>
        <v>0</v>
      </c>
      <c r="M60" s="268" cm="1">
        <f t="array" ref="M60">INDEX(WS.data,1,M$28,$B60)</f>
        <v>0</v>
      </c>
      <c r="N60" s="268" cm="1">
        <f t="array" ref="N60">INDEX(WS.data,1,N$28,$B60)</f>
        <v>0</v>
      </c>
      <c r="O60" s="268" cm="1">
        <f t="array" ref="O60">INDEX(WS.data,1,O$28,$B60)</f>
        <v>0</v>
      </c>
    </row>
    <row r="61" spans="2:15" hidden="1" outlineLevel="2">
      <c r="B61" s="238">
        <f t="shared" si="1"/>
        <v>3</v>
      </c>
      <c r="C61" s="73" t="str">
        <v>SpareOfferA30</v>
      </c>
      <c r="D61" s="73" t="str">
        <v>Unlimited</v>
      </c>
      <c r="G61" s="268" cm="1">
        <f t="array" ref="G61">INDEX(WS.data,1,G$28,$B61)</f>
        <v>0</v>
      </c>
      <c r="H61" s="268" cm="1">
        <f t="array" ref="H61">INDEX(WS.data,1,H$28,$B61)</f>
        <v>0</v>
      </c>
      <c r="I61" s="268" cm="1">
        <f t="array" ref="I61">INDEX(WS.data,1,I$28,$B61)</f>
        <v>0</v>
      </c>
      <c r="J61" s="268" cm="1">
        <f t="array" ref="J61">INDEX(WS.data,1,J$28,$B61)</f>
        <v>0</v>
      </c>
      <c r="K61" s="268" cm="1">
        <f t="array" ref="K61">INDEX(WS.data,1,K$28,$B61)</f>
        <v>0</v>
      </c>
      <c r="L61" s="268" cm="1">
        <f t="array" ref="L61">INDEX(WS.data,1,L$28,$B61)</f>
        <v>0</v>
      </c>
      <c r="M61" s="268" cm="1">
        <f t="array" ref="M61">INDEX(WS.data,1,M$28,$B61)</f>
        <v>0</v>
      </c>
      <c r="N61" s="268" cm="1">
        <f t="array" ref="N61">INDEX(WS.data,1,N$28,$B61)</f>
        <v>0</v>
      </c>
      <c r="O61" s="268" cm="1">
        <f t="array" ref="O61">INDEX(WS.data,1,O$28,$B61)</f>
        <v>0</v>
      </c>
    </row>
    <row r="62" spans="2:15" hidden="1" outlineLevel="2">
      <c r="B62" s="238">
        <f t="shared" si="1"/>
        <v>3</v>
      </c>
      <c r="C62" s="73" t="str">
        <v>SpareOfferA31</v>
      </c>
      <c r="D62" s="73" t="str">
        <v>Unlimited</v>
      </c>
      <c r="G62" s="268" cm="1">
        <f t="array" ref="G62">INDEX(WS.data,1,G$28,$B62)</f>
        <v>0</v>
      </c>
      <c r="H62" s="268" cm="1">
        <f t="array" ref="H62">INDEX(WS.data,1,H$28,$B62)</f>
        <v>0</v>
      </c>
      <c r="I62" s="268" cm="1">
        <f t="array" ref="I62">INDEX(WS.data,1,I$28,$B62)</f>
        <v>0</v>
      </c>
      <c r="J62" s="268" cm="1">
        <f t="array" ref="J62">INDEX(WS.data,1,J$28,$B62)</f>
        <v>0</v>
      </c>
      <c r="K62" s="268" cm="1">
        <f t="array" ref="K62">INDEX(WS.data,1,K$28,$B62)</f>
        <v>0</v>
      </c>
      <c r="L62" s="268" cm="1">
        <f t="array" ref="L62">INDEX(WS.data,1,L$28,$B62)</f>
        <v>0</v>
      </c>
      <c r="M62" s="268" cm="1">
        <f t="array" ref="M62">INDEX(WS.data,1,M$28,$B62)</f>
        <v>0</v>
      </c>
      <c r="N62" s="268" cm="1">
        <f t="array" ref="N62">INDEX(WS.data,1,N$28,$B62)</f>
        <v>0</v>
      </c>
      <c r="O62" s="268" cm="1">
        <f t="array" ref="O62">INDEX(WS.data,1,O$28,$B62)</f>
        <v>0</v>
      </c>
    </row>
    <row r="63" spans="2:15" hidden="1" outlineLevel="2">
      <c r="B63" s="238">
        <f t="shared" si="1"/>
        <v>3</v>
      </c>
      <c r="C63" s="73" t="str">
        <v>SpareOfferA32</v>
      </c>
      <c r="D63" s="73" t="str">
        <v>Unlimited</v>
      </c>
      <c r="G63" s="268" cm="1">
        <f t="array" ref="G63">INDEX(WS.data,1,G$28,$B63)</f>
        <v>0</v>
      </c>
      <c r="H63" s="268" cm="1">
        <f t="array" ref="H63">INDEX(WS.data,1,H$28,$B63)</f>
        <v>0</v>
      </c>
      <c r="I63" s="268" cm="1">
        <f t="array" ref="I63">INDEX(WS.data,1,I$28,$B63)</f>
        <v>0</v>
      </c>
      <c r="J63" s="268" cm="1">
        <f t="array" ref="J63">INDEX(WS.data,1,J$28,$B63)</f>
        <v>0</v>
      </c>
      <c r="K63" s="268" cm="1">
        <f t="array" ref="K63">INDEX(WS.data,1,K$28,$B63)</f>
        <v>0</v>
      </c>
      <c r="L63" s="268" cm="1">
        <f t="array" ref="L63">INDEX(WS.data,1,L$28,$B63)</f>
        <v>0</v>
      </c>
      <c r="M63" s="268" cm="1">
        <f t="array" ref="M63">INDEX(WS.data,1,M$28,$B63)</f>
        <v>0</v>
      </c>
      <c r="N63" s="268" cm="1">
        <f t="array" ref="N63">INDEX(WS.data,1,N$28,$B63)</f>
        <v>0</v>
      </c>
      <c r="O63" s="268" cm="1">
        <f t="array" ref="O63">INDEX(WS.data,1,O$28,$B63)</f>
        <v>0</v>
      </c>
    </row>
    <row r="64" spans="2:15" hidden="1" outlineLevel="2">
      <c r="B64" s="238">
        <f t="shared" si="1"/>
        <v>3</v>
      </c>
      <c r="C64" s="73" t="str">
        <v>SpareOfferA33</v>
      </c>
      <c r="D64" s="73" t="str">
        <v>Unlimited</v>
      </c>
      <c r="G64" s="268" cm="1">
        <f t="array" ref="G64">INDEX(WS.data,1,G$28,$B64)</f>
        <v>0</v>
      </c>
      <c r="H64" s="268" cm="1">
        <f t="array" ref="H64">INDEX(WS.data,1,H$28,$B64)</f>
        <v>0</v>
      </c>
      <c r="I64" s="268" cm="1">
        <f t="array" ref="I64">INDEX(WS.data,1,I$28,$B64)</f>
        <v>0</v>
      </c>
      <c r="J64" s="268" cm="1">
        <f t="array" ref="J64">INDEX(WS.data,1,J$28,$B64)</f>
        <v>0</v>
      </c>
      <c r="K64" s="268" cm="1">
        <f t="array" ref="K64">INDEX(WS.data,1,K$28,$B64)</f>
        <v>0</v>
      </c>
      <c r="L64" s="268" cm="1">
        <f t="array" ref="L64">INDEX(WS.data,1,L$28,$B64)</f>
        <v>0</v>
      </c>
      <c r="M64" s="268" cm="1">
        <f t="array" ref="M64">INDEX(WS.data,1,M$28,$B64)</f>
        <v>0</v>
      </c>
      <c r="N64" s="268" cm="1">
        <f t="array" ref="N64">INDEX(WS.data,1,N$28,$B64)</f>
        <v>0</v>
      </c>
      <c r="O64" s="268" cm="1">
        <f t="array" ref="O64">INDEX(WS.data,1,O$28,$B64)</f>
        <v>0</v>
      </c>
    </row>
    <row r="65" spans="2:15" hidden="1" outlineLevel="2">
      <c r="B65" s="238">
        <f t="shared" si="1"/>
        <v>3</v>
      </c>
      <c r="C65" s="73" t="str">
        <v>SpareOfferA34</v>
      </c>
      <c r="D65" s="73" t="str">
        <v>Unlimited</v>
      </c>
      <c r="G65" s="268" cm="1">
        <f t="array" ref="G65">INDEX(WS.data,1,G$28,$B65)</f>
        <v>0</v>
      </c>
      <c r="H65" s="268" cm="1">
        <f t="array" ref="H65">INDEX(WS.data,1,H$28,$B65)</f>
        <v>0</v>
      </c>
      <c r="I65" s="268" cm="1">
        <f t="array" ref="I65">INDEX(WS.data,1,I$28,$B65)</f>
        <v>0</v>
      </c>
      <c r="J65" s="268" cm="1">
        <f t="array" ref="J65">INDEX(WS.data,1,J$28,$B65)</f>
        <v>0</v>
      </c>
      <c r="K65" s="268" cm="1">
        <f t="array" ref="K65">INDEX(WS.data,1,K$28,$B65)</f>
        <v>0</v>
      </c>
      <c r="L65" s="268" cm="1">
        <f t="array" ref="L65">INDEX(WS.data,1,L$28,$B65)</f>
        <v>0</v>
      </c>
      <c r="M65" s="268" cm="1">
        <f t="array" ref="M65">INDEX(WS.data,1,M$28,$B65)</f>
        <v>0</v>
      </c>
      <c r="N65" s="268" cm="1">
        <f t="array" ref="N65">INDEX(WS.data,1,N$28,$B65)</f>
        <v>0</v>
      </c>
      <c r="O65" s="268" cm="1">
        <f t="array" ref="O65">INDEX(WS.data,1,O$28,$B65)</f>
        <v>0</v>
      </c>
    </row>
    <row r="66" spans="2:15" outlineLevel="1" collapsed="1">
      <c r="B66" s="238">
        <f t="shared" si="1"/>
        <v>3</v>
      </c>
      <c r="C66" s="73" t="str">
        <v>SpareOfferA35</v>
      </c>
      <c r="D66" s="73" t="str">
        <v>Unlimited</v>
      </c>
      <c r="G66" s="268" cm="1">
        <f t="array" ref="G66">INDEX(WS.data,1,G$28,$B66)</f>
        <v>0</v>
      </c>
      <c r="H66" s="268" cm="1">
        <f t="array" ref="H66">INDEX(WS.data,1,H$28,$B66)</f>
        <v>0</v>
      </c>
      <c r="I66" s="268" cm="1">
        <f t="array" ref="I66">INDEX(WS.data,1,I$28,$B66)</f>
        <v>0</v>
      </c>
      <c r="J66" s="268" cm="1">
        <f t="array" ref="J66">INDEX(WS.data,1,J$28,$B66)</f>
        <v>0</v>
      </c>
      <c r="K66" s="268" cm="1">
        <f t="array" ref="K66">INDEX(WS.data,1,K$28,$B66)</f>
        <v>0</v>
      </c>
      <c r="L66" s="268" cm="1">
        <f t="array" ref="L66">INDEX(WS.data,1,L$28,$B66)</f>
        <v>0</v>
      </c>
      <c r="M66" s="268" cm="1">
        <f t="array" ref="M66">INDEX(WS.data,1,M$28,$B66)</f>
        <v>0</v>
      </c>
      <c r="N66" s="268" cm="1">
        <f t="array" ref="N66">INDEX(WS.data,1,N$28,$B66)</f>
        <v>0</v>
      </c>
      <c r="O66" s="268" cm="1">
        <f t="array" ref="O66">INDEX(WS.data,1,O$28,$B66)</f>
        <v>0</v>
      </c>
    </row>
    <row r="67" spans="2:15" outlineLevel="1"/>
    <row r="68" spans="2:15" outlineLevel="1">
      <c r="B68" s="238">
        <f t="shared" ref="B68:B102" si="2">MATCH(D68,data.speed.options,0)</f>
        <v>3</v>
      </c>
      <c r="C68" s="73" t="str">
        <f t="array" ref="C68:C102">offers.segment.2</f>
        <v>SpareOfferB1</v>
      </c>
      <c r="D68" s="73" t="str">
        <f t="array" ref="D68:D102">data.speed.options.segment.2</f>
        <v>Unlimited</v>
      </c>
      <c r="G68" s="268" cm="1">
        <f t="array" ref="G68">INDEX(WS.data,1,G$28,$B68)</f>
        <v>0</v>
      </c>
      <c r="H68" s="268" cm="1">
        <f t="array" ref="H68">INDEX(WS.data,1,H$28,$B68)</f>
        <v>0</v>
      </c>
      <c r="I68" s="268" cm="1">
        <f t="array" ref="I68">INDEX(WS.data,1,I$28,$B68)</f>
        <v>0</v>
      </c>
      <c r="J68" s="268" cm="1">
        <f t="array" ref="J68">INDEX(WS.data,1,J$28,$B68)</f>
        <v>0</v>
      </c>
      <c r="K68" s="268" cm="1">
        <f t="array" ref="K68">INDEX(WS.data,1,K$28,$B68)</f>
        <v>0</v>
      </c>
      <c r="L68" s="268" cm="1">
        <f t="array" ref="L68">INDEX(WS.data,1,L$28,$B68)</f>
        <v>0</v>
      </c>
      <c r="M68" s="268" cm="1">
        <f t="array" ref="M68">INDEX(WS.data,1,M$28,$B68)</f>
        <v>0</v>
      </c>
      <c r="N68" s="268" cm="1">
        <f t="array" ref="N68">INDEX(WS.data,1,N$28,$B68)</f>
        <v>0</v>
      </c>
      <c r="O68" s="268" cm="1">
        <f t="array" ref="O68">INDEX(WS.data,1,O$28,$B68)</f>
        <v>0</v>
      </c>
    </row>
    <row r="69" spans="2:15" hidden="1" outlineLevel="2">
      <c r="B69" s="238">
        <f t="shared" si="2"/>
        <v>3</v>
      </c>
      <c r="C69" s="73" t="str">
        <v>SpareOfferB2</v>
      </c>
      <c r="D69" s="73" t="str">
        <v>Unlimited</v>
      </c>
      <c r="G69" s="268" cm="1">
        <f t="array" ref="G69">INDEX(WS.data,1,G$28,$B69)</f>
        <v>0</v>
      </c>
      <c r="H69" s="268" cm="1">
        <f t="array" ref="H69">INDEX(WS.data,1,H$28,$B69)</f>
        <v>0</v>
      </c>
      <c r="I69" s="268" cm="1">
        <f t="array" ref="I69">INDEX(WS.data,1,I$28,$B69)</f>
        <v>0</v>
      </c>
      <c r="J69" s="268" cm="1">
        <f t="array" ref="J69">INDEX(WS.data,1,J$28,$B69)</f>
        <v>0</v>
      </c>
      <c r="K69" s="268" cm="1">
        <f t="array" ref="K69">INDEX(WS.data,1,K$28,$B69)</f>
        <v>0</v>
      </c>
      <c r="L69" s="268" cm="1">
        <f t="array" ref="L69">INDEX(WS.data,1,L$28,$B69)</f>
        <v>0</v>
      </c>
      <c r="M69" s="268" cm="1">
        <f t="array" ref="M69">INDEX(WS.data,1,M$28,$B69)</f>
        <v>0</v>
      </c>
      <c r="N69" s="268" cm="1">
        <f t="array" ref="N69">INDEX(WS.data,1,N$28,$B69)</f>
        <v>0</v>
      </c>
      <c r="O69" s="268" cm="1">
        <f t="array" ref="O69">INDEX(WS.data,1,O$28,$B69)</f>
        <v>0</v>
      </c>
    </row>
    <row r="70" spans="2:15" hidden="1" outlineLevel="2">
      <c r="B70" s="238">
        <f t="shared" si="2"/>
        <v>3</v>
      </c>
      <c r="C70" s="73" t="str">
        <v>SpareOfferB3</v>
      </c>
      <c r="D70" s="73" t="str">
        <v>Unlimited</v>
      </c>
      <c r="G70" s="268" cm="1">
        <f t="array" ref="G70">INDEX(WS.data,1,G$28,$B70)</f>
        <v>0</v>
      </c>
      <c r="H70" s="268" cm="1">
        <f t="array" ref="H70">INDEX(WS.data,1,H$28,$B70)</f>
        <v>0</v>
      </c>
      <c r="I70" s="268" cm="1">
        <f t="array" ref="I70">INDEX(WS.data,1,I$28,$B70)</f>
        <v>0</v>
      </c>
      <c r="J70" s="268" cm="1">
        <f t="array" ref="J70">INDEX(WS.data,1,J$28,$B70)</f>
        <v>0</v>
      </c>
      <c r="K70" s="268" cm="1">
        <f t="array" ref="K70">INDEX(WS.data,1,K$28,$B70)</f>
        <v>0</v>
      </c>
      <c r="L70" s="268" cm="1">
        <f t="array" ref="L70">INDEX(WS.data,1,L$28,$B70)</f>
        <v>0</v>
      </c>
      <c r="M70" s="268" cm="1">
        <f t="array" ref="M70">INDEX(WS.data,1,M$28,$B70)</f>
        <v>0</v>
      </c>
      <c r="N70" s="268" cm="1">
        <f t="array" ref="N70">INDEX(WS.data,1,N$28,$B70)</f>
        <v>0</v>
      </c>
      <c r="O70" s="268" cm="1">
        <f t="array" ref="O70">INDEX(WS.data,1,O$28,$B70)</f>
        <v>0</v>
      </c>
    </row>
    <row r="71" spans="2:15" hidden="1" outlineLevel="2">
      <c r="B71" s="238">
        <f t="shared" si="2"/>
        <v>3</v>
      </c>
      <c r="C71" s="73" t="str">
        <v>SpareOfferB4</v>
      </c>
      <c r="D71" s="73" t="str">
        <v>Unlimited</v>
      </c>
      <c r="G71" s="268" cm="1">
        <f t="array" ref="G71">INDEX(WS.data,1,G$28,$B71)</f>
        <v>0</v>
      </c>
      <c r="H71" s="268" cm="1">
        <f t="array" ref="H71">INDEX(WS.data,1,H$28,$B71)</f>
        <v>0</v>
      </c>
      <c r="I71" s="268" cm="1">
        <f t="array" ref="I71">INDEX(WS.data,1,I$28,$B71)</f>
        <v>0</v>
      </c>
      <c r="J71" s="268" cm="1">
        <f t="array" ref="J71">INDEX(WS.data,1,J$28,$B71)</f>
        <v>0</v>
      </c>
      <c r="K71" s="268" cm="1">
        <f t="array" ref="K71">INDEX(WS.data,1,K$28,$B71)</f>
        <v>0</v>
      </c>
      <c r="L71" s="268" cm="1">
        <f t="array" ref="L71">INDEX(WS.data,1,L$28,$B71)</f>
        <v>0</v>
      </c>
      <c r="M71" s="268" cm="1">
        <f t="array" ref="M71">INDEX(WS.data,1,M$28,$B71)</f>
        <v>0</v>
      </c>
      <c r="N71" s="268" cm="1">
        <f t="array" ref="N71">INDEX(WS.data,1,N$28,$B71)</f>
        <v>0</v>
      </c>
      <c r="O71" s="268" cm="1">
        <f t="array" ref="O71">INDEX(WS.data,1,O$28,$B71)</f>
        <v>0</v>
      </c>
    </row>
    <row r="72" spans="2:15" hidden="1" outlineLevel="2">
      <c r="B72" s="238">
        <f t="shared" si="2"/>
        <v>3</v>
      </c>
      <c r="C72" s="73" t="str">
        <v>SpareOfferB5</v>
      </c>
      <c r="D72" s="73" t="str">
        <v>Unlimited</v>
      </c>
      <c r="G72" s="268" cm="1">
        <f t="array" ref="G72">INDEX(WS.data,1,G$28,$B72)</f>
        <v>0</v>
      </c>
      <c r="H72" s="268" cm="1">
        <f t="array" ref="H72">INDEX(WS.data,1,H$28,$B72)</f>
        <v>0</v>
      </c>
      <c r="I72" s="268" cm="1">
        <f t="array" ref="I72">INDEX(WS.data,1,I$28,$B72)</f>
        <v>0</v>
      </c>
      <c r="J72" s="268" cm="1">
        <f t="array" ref="J72">INDEX(WS.data,1,J$28,$B72)</f>
        <v>0</v>
      </c>
      <c r="K72" s="268" cm="1">
        <f t="array" ref="K72">INDEX(WS.data,1,K$28,$B72)</f>
        <v>0</v>
      </c>
      <c r="L72" s="268" cm="1">
        <f t="array" ref="L72">INDEX(WS.data,1,L$28,$B72)</f>
        <v>0</v>
      </c>
      <c r="M72" s="268" cm="1">
        <f t="array" ref="M72">INDEX(WS.data,1,M$28,$B72)</f>
        <v>0</v>
      </c>
      <c r="N72" s="268" cm="1">
        <f t="array" ref="N72">INDEX(WS.data,1,N$28,$B72)</f>
        <v>0</v>
      </c>
      <c r="O72" s="268" cm="1">
        <f t="array" ref="O72">INDEX(WS.data,1,O$28,$B72)</f>
        <v>0</v>
      </c>
    </row>
    <row r="73" spans="2:15" hidden="1" outlineLevel="2">
      <c r="B73" s="238">
        <f t="shared" si="2"/>
        <v>3</v>
      </c>
      <c r="C73" s="73" t="str">
        <v>SpareOfferB6</v>
      </c>
      <c r="D73" s="73" t="str">
        <v>Unlimited</v>
      </c>
      <c r="G73" s="268" cm="1">
        <f t="array" ref="G73">INDEX(WS.data,1,G$28,$B73)</f>
        <v>0</v>
      </c>
      <c r="H73" s="268" cm="1">
        <f t="array" ref="H73">INDEX(WS.data,1,H$28,$B73)</f>
        <v>0</v>
      </c>
      <c r="I73" s="268" cm="1">
        <f t="array" ref="I73">INDEX(WS.data,1,I$28,$B73)</f>
        <v>0</v>
      </c>
      <c r="J73" s="268" cm="1">
        <f t="array" ref="J73">INDEX(WS.data,1,J$28,$B73)</f>
        <v>0</v>
      </c>
      <c r="K73" s="268" cm="1">
        <f t="array" ref="K73">INDEX(WS.data,1,K$28,$B73)</f>
        <v>0</v>
      </c>
      <c r="L73" s="268" cm="1">
        <f t="array" ref="L73">INDEX(WS.data,1,L$28,$B73)</f>
        <v>0</v>
      </c>
      <c r="M73" s="268" cm="1">
        <f t="array" ref="M73">INDEX(WS.data,1,M$28,$B73)</f>
        <v>0</v>
      </c>
      <c r="N73" s="268" cm="1">
        <f t="array" ref="N73">INDEX(WS.data,1,N$28,$B73)</f>
        <v>0</v>
      </c>
      <c r="O73" s="268" cm="1">
        <f t="array" ref="O73">INDEX(WS.data,1,O$28,$B73)</f>
        <v>0</v>
      </c>
    </row>
    <row r="74" spans="2:15" hidden="1" outlineLevel="2">
      <c r="B74" s="238">
        <f t="shared" si="2"/>
        <v>3</v>
      </c>
      <c r="C74" s="73" t="str">
        <v>SpareOfferB7</v>
      </c>
      <c r="D74" s="73" t="str">
        <v>Unlimited</v>
      </c>
      <c r="G74" s="268" cm="1">
        <f t="array" ref="G74">INDEX(WS.data,1,G$28,$B74)</f>
        <v>0</v>
      </c>
      <c r="H74" s="268" cm="1">
        <f t="array" ref="H74">INDEX(WS.data,1,H$28,$B74)</f>
        <v>0</v>
      </c>
      <c r="I74" s="268" cm="1">
        <f t="array" ref="I74">INDEX(WS.data,1,I$28,$B74)</f>
        <v>0</v>
      </c>
      <c r="J74" s="268" cm="1">
        <f t="array" ref="J74">INDEX(WS.data,1,J$28,$B74)</f>
        <v>0</v>
      </c>
      <c r="K74" s="268" cm="1">
        <f t="array" ref="K74">INDEX(WS.data,1,K$28,$B74)</f>
        <v>0</v>
      </c>
      <c r="L74" s="268" cm="1">
        <f t="array" ref="L74">INDEX(WS.data,1,L$28,$B74)</f>
        <v>0</v>
      </c>
      <c r="M74" s="268" cm="1">
        <f t="array" ref="M74">INDEX(WS.data,1,M$28,$B74)</f>
        <v>0</v>
      </c>
      <c r="N74" s="268" cm="1">
        <f t="array" ref="N74">INDEX(WS.data,1,N$28,$B74)</f>
        <v>0</v>
      </c>
      <c r="O74" s="268" cm="1">
        <f t="array" ref="O74">INDEX(WS.data,1,O$28,$B74)</f>
        <v>0</v>
      </c>
    </row>
    <row r="75" spans="2:15" hidden="1" outlineLevel="2">
      <c r="B75" s="238">
        <f t="shared" si="2"/>
        <v>3</v>
      </c>
      <c r="C75" s="73" t="str">
        <v>SpareOfferB8</v>
      </c>
      <c r="D75" s="73" t="str">
        <v>Unlimited</v>
      </c>
      <c r="G75" s="268" cm="1">
        <f t="array" ref="G75">INDEX(WS.data,1,G$28,$B75)</f>
        <v>0</v>
      </c>
      <c r="H75" s="268" cm="1">
        <f t="array" ref="H75">INDEX(WS.data,1,H$28,$B75)</f>
        <v>0</v>
      </c>
      <c r="I75" s="268" cm="1">
        <f t="array" ref="I75">INDEX(WS.data,1,I$28,$B75)</f>
        <v>0</v>
      </c>
      <c r="J75" s="268" cm="1">
        <f t="array" ref="J75">INDEX(WS.data,1,J$28,$B75)</f>
        <v>0</v>
      </c>
      <c r="K75" s="268" cm="1">
        <f t="array" ref="K75">INDEX(WS.data,1,K$28,$B75)</f>
        <v>0</v>
      </c>
      <c r="L75" s="268" cm="1">
        <f t="array" ref="L75">INDEX(WS.data,1,L$28,$B75)</f>
        <v>0</v>
      </c>
      <c r="M75" s="268" cm="1">
        <f t="array" ref="M75">INDEX(WS.data,1,M$28,$B75)</f>
        <v>0</v>
      </c>
      <c r="N75" s="268" cm="1">
        <f t="array" ref="N75">INDEX(WS.data,1,N$28,$B75)</f>
        <v>0</v>
      </c>
      <c r="O75" s="268" cm="1">
        <f t="array" ref="O75">INDEX(WS.data,1,O$28,$B75)</f>
        <v>0</v>
      </c>
    </row>
    <row r="76" spans="2:15" hidden="1" outlineLevel="2">
      <c r="B76" s="238">
        <f t="shared" si="2"/>
        <v>3</v>
      </c>
      <c r="C76" s="73" t="str">
        <v>SpareOfferB9</v>
      </c>
      <c r="D76" s="73" t="str">
        <v>Unlimited</v>
      </c>
      <c r="G76" s="268" cm="1">
        <f t="array" ref="G76">INDEX(WS.data,1,G$28,$B76)</f>
        <v>0</v>
      </c>
      <c r="H76" s="268" cm="1">
        <f t="array" ref="H76">INDEX(WS.data,1,H$28,$B76)</f>
        <v>0</v>
      </c>
      <c r="I76" s="268" cm="1">
        <f t="array" ref="I76">INDEX(WS.data,1,I$28,$B76)</f>
        <v>0</v>
      </c>
      <c r="J76" s="268" cm="1">
        <f t="array" ref="J76">INDEX(WS.data,1,J$28,$B76)</f>
        <v>0</v>
      </c>
      <c r="K76" s="268" cm="1">
        <f t="array" ref="K76">INDEX(WS.data,1,K$28,$B76)</f>
        <v>0</v>
      </c>
      <c r="L76" s="268" cm="1">
        <f t="array" ref="L76">INDEX(WS.data,1,L$28,$B76)</f>
        <v>0</v>
      </c>
      <c r="M76" s="268" cm="1">
        <f t="array" ref="M76">INDEX(WS.data,1,M$28,$B76)</f>
        <v>0</v>
      </c>
      <c r="N76" s="268" cm="1">
        <f t="array" ref="N76">INDEX(WS.data,1,N$28,$B76)</f>
        <v>0</v>
      </c>
      <c r="O76" s="268" cm="1">
        <f t="array" ref="O76">INDEX(WS.data,1,O$28,$B76)</f>
        <v>0</v>
      </c>
    </row>
    <row r="77" spans="2:15" hidden="1" outlineLevel="2">
      <c r="B77" s="238">
        <f t="shared" si="2"/>
        <v>3</v>
      </c>
      <c r="C77" s="73" t="str">
        <v>SpareOfferB10</v>
      </c>
      <c r="D77" s="73" t="str">
        <v>Unlimited</v>
      </c>
      <c r="G77" s="268" cm="1">
        <f t="array" ref="G77">INDEX(WS.data,1,G$28,$B77)</f>
        <v>0</v>
      </c>
      <c r="H77" s="268" cm="1">
        <f t="array" ref="H77">INDEX(WS.data,1,H$28,$B77)</f>
        <v>0</v>
      </c>
      <c r="I77" s="268" cm="1">
        <f t="array" ref="I77">INDEX(WS.data,1,I$28,$B77)</f>
        <v>0</v>
      </c>
      <c r="J77" s="268" cm="1">
        <f t="array" ref="J77">INDEX(WS.data,1,J$28,$B77)</f>
        <v>0</v>
      </c>
      <c r="K77" s="268" cm="1">
        <f t="array" ref="K77">INDEX(WS.data,1,K$28,$B77)</f>
        <v>0</v>
      </c>
      <c r="L77" s="268" cm="1">
        <f t="array" ref="L77">INDEX(WS.data,1,L$28,$B77)</f>
        <v>0</v>
      </c>
      <c r="M77" s="268" cm="1">
        <f t="array" ref="M77">INDEX(WS.data,1,M$28,$B77)</f>
        <v>0</v>
      </c>
      <c r="N77" s="268" cm="1">
        <f t="array" ref="N77">INDEX(WS.data,1,N$28,$B77)</f>
        <v>0</v>
      </c>
      <c r="O77" s="268" cm="1">
        <f t="array" ref="O77">INDEX(WS.data,1,O$28,$B77)</f>
        <v>0</v>
      </c>
    </row>
    <row r="78" spans="2:15" hidden="1" outlineLevel="2">
      <c r="B78" s="238">
        <f t="shared" si="2"/>
        <v>3</v>
      </c>
      <c r="C78" s="73" t="str">
        <v>SpareOfferB11</v>
      </c>
      <c r="D78" s="73" t="str">
        <v>Unlimited</v>
      </c>
      <c r="G78" s="268" cm="1">
        <f t="array" ref="G78">INDEX(WS.data,1,G$28,$B78)</f>
        <v>0</v>
      </c>
      <c r="H78" s="268" cm="1">
        <f t="array" ref="H78">INDEX(WS.data,1,H$28,$B78)</f>
        <v>0</v>
      </c>
      <c r="I78" s="268" cm="1">
        <f t="array" ref="I78">INDEX(WS.data,1,I$28,$B78)</f>
        <v>0</v>
      </c>
      <c r="J78" s="268" cm="1">
        <f t="array" ref="J78">INDEX(WS.data,1,J$28,$B78)</f>
        <v>0</v>
      </c>
      <c r="K78" s="268" cm="1">
        <f t="array" ref="K78">INDEX(WS.data,1,K$28,$B78)</f>
        <v>0</v>
      </c>
      <c r="L78" s="268" cm="1">
        <f t="array" ref="L78">INDEX(WS.data,1,L$28,$B78)</f>
        <v>0</v>
      </c>
      <c r="M78" s="268" cm="1">
        <f t="array" ref="M78">INDEX(WS.data,1,M$28,$B78)</f>
        <v>0</v>
      </c>
      <c r="N78" s="268" cm="1">
        <f t="array" ref="N78">INDEX(WS.data,1,N$28,$B78)</f>
        <v>0</v>
      </c>
      <c r="O78" s="268" cm="1">
        <f t="array" ref="O78">INDEX(WS.data,1,O$28,$B78)</f>
        <v>0</v>
      </c>
    </row>
    <row r="79" spans="2:15" hidden="1" outlineLevel="2">
      <c r="B79" s="238">
        <f t="shared" si="2"/>
        <v>3</v>
      </c>
      <c r="C79" s="73" t="str">
        <v>SpareOfferB12</v>
      </c>
      <c r="D79" s="73" t="str">
        <v>Unlimited</v>
      </c>
      <c r="G79" s="268" cm="1">
        <f t="array" ref="G79">INDEX(WS.data,1,G$28,$B79)</f>
        <v>0</v>
      </c>
      <c r="H79" s="268" cm="1">
        <f t="array" ref="H79">INDEX(WS.data,1,H$28,$B79)</f>
        <v>0</v>
      </c>
      <c r="I79" s="268" cm="1">
        <f t="array" ref="I79">INDEX(WS.data,1,I$28,$B79)</f>
        <v>0</v>
      </c>
      <c r="J79" s="268" cm="1">
        <f t="array" ref="J79">INDEX(WS.data,1,J$28,$B79)</f>
        <v>0</v>
      </c>
      <c r="K79" s="268" cm="1">
        <f t="array" ref="K79">INDEX(WS.data,1,K$28,$B79)</f>
        <v>0</v>
      </c>
      <c r="L79" s="268" cm="1">
        <f t="array" ref="L79">INDEX(WS.data,1,L$28,$B79)</f>
        <v>0</v>
      </c>
      <c r="M79" s="268" cm="1">
        <f t="array" ref="M79">INDEX(WS.data,1,M$28,$B79)</f>
        <v>0</v>
      </c>
      <c r="N79" s="268" cm="1">
        <f t="array" ref="N79">INDEX(WS.data,1,N$28,$B79)</f>
        <v>0</v>
      </c>
      <c r="O79" s="268" cm="1">
        <f t="array" ref="O79">INDEX(WS.data,1,O$28,$B79)</f>
        <v>0</v>
      </c>
    </row>
    <row r="80" spans="2:15" hidden="1" outlineLevel="2">
      <c r="B80" s="238">
        <f t="shared" si="2"/>
        <v>3</v>
      </c>
      <c r="C80" s="73" t="str">
        <v>SpareOfferB13</v>
      </c>
      <c r="D80" s="73" t="str">
        <v>Unlimited</v>
      </c>
      <c r="G80" s="268" cm="1">
        <f t="array" ref="G80">INDEX(WS.data,1,G$28,$B80)</f>
        <v>0</v>
      </c>
      <c r="H80" s="268" cm="1">
        <f t="array" ref="H80">INDEX(WS.data,1,H$28,$B80)</f>
        <v>0</v>
      </c>
      <c r="I80" s="268" cm="1">
        <f t="array" ref="I80">INDEX(WS.data,1,I$28,$B80)</f>
        <v>0</v>
      </c>
      <c r="J80" s="268" cm="1">
        <f t="array" ref="J80">INDEX(WS.data,1,J$28,$B80)</f>
        <v>0</v>
      </c>
      <c r="K80" s="268" cm="1">
        <f t="array" ref="K80">INDEX(WS.data,1,K$28,$B80)</f>
        <v>0</v>
      </c>
      <c r="L80" s="268" cm="1">
        <f t="array" ref="L80">INDEX(WS.data,1,L$28,$B80)</f>
        <v>0</v>
      </c>
      <c r="M80" s="268" cm="1">
        <f t="array" ref="M80">INDEX(WS.data,1,M$28,$B80)</f>
        <v>0</v>
      </c>
      <c r="N80" s="268" cm="1">
        <f t="array" ref="N80">INDEX(WS.data,1,N$28,$B80)</f>
        <v>0</v>
      </c>
      <c r="O80" s="268" cm="1">
        <f t="array" ref="O80">INDEX(WS.data,1,O$28,$B80)</f>
        <v>0</v>
      </c>
    </row>
    <row r="81" spans="2:15" hidden="1" outlineLevel="2">
      <c r="B81" s="238">
        <f t="shared" si="2"/>
        <v>3</v>
      </c>
      <c r="C81" s="73" t="str">
        <v>SpareOfferB14</v>
      </c>
      <c r="D81" s="73" t="str">
        <v>Unlimited</v>
      </c>
      <c r="G81" s="268" cm="1">
        <f t="array" ref="G81">INDEX(WS.data,1,G$28,$B81)</f>
        <v>0</v>
      </c>
      <c r="H81" s="268" cm="1">
        <f t="array" ref="H81">INDEX(WS.data,1,H$28,$B81)</f>
        <v>0</v>
      </c>
      <c r="I81" s="268" cm="1">
        <f t="array" ref="I81">INDEX(WS.data,1,I$28,$B81)</f>
        <v>0</v>
      </c>
      <c r="J81" s="268" cm="1">
        <f t="array" ref="J81">INDEX(WS.data,1,J$28,$B81)</f>
        <v>0</v>
      </c>
      <c r="K81" s="268" cm="1">
        <f t="array" ref="K81">INDEX(WS.data,1,K$28,$B81)</f>
        <v>0</v>
      </c>
      <c r="L81" s="268" cm="1">
        <f t="array" ref="L81">INDEX(WS.data,1,L$28,$B81)</f>
        <v>0</v>
      </c>
      <c r="M81" s="268" cm="1">
        <f t="array" ref="M81">INDEX(WS.data,1,M$28,$B81)</f>
        <v>0</v>
      </c>
      <c r="N81" s="268" cm="1">
        <f t="array" ref="N81">INDEX(WS.data,1,N$28,$B81)</f>
        <v>0</v>
      </c>
      <c r="O81" s="268" cm="1">
        <f t="array" ref="O81">INDEX(WS.data,1,O$28,$B81)</f>
        <v>0</v>
      </c>
    </row>
    <row r="82" spans="2:15" hidden="1" outlineLevel="2">
      <c r="B82" s="238">
        <f t="shared" si="2"/>
        <v>3</v>
      </c>
      <c r="C82" s="73" t="str">
        <v>SpareOfferB15</v>
      </c>
      <c r="D82" s="73" t="str">
        <v>Unlimited</v>
      </c>
      <c r="G82" s="268" cm="1">
        <f t="array" ref="G82">INDEX(WS.data,1,G$28,$B82)</f>
        <v>0</v>
      </c>
      <c r="H82" s="268" cm="1">
        <f t="array" ref="H82">INDEX(WS.data,1,H$28,$B82)</f>
        <v>0</v>
      </c>
      <c r="I82" s="268" cm="1">
        <f t="array" ref="I82">INDEX(WS.data,1,I$28,$B82)</f>
        <v>0</v>
      </c>
      <c r="J82" s="268" cm="1">
        <f t="array" ref="J82">INDEX(WS.data,1,J$28,$B82)</f>
        <v>0</v>
      </c>
      <c r="K82" s="268" cm="1">
        <f t="array" ref="K82">INDEX(WS.data,1,K$28,$B82)</f>
        <v>0</v>
      </c>
      <c r="L82" s="268" cm="1">
        <f t="array" ref="L82">INDEX(WS.data,1,L$28,$B82)</f>
        <v>0</v>
      </c>
      <c r="M82" s="268" cm="1">
        <f t="array" ref="M82">INDEX(WS.data,1,M$28,$B82)</f>
        <v>0</v>
      </c>
      <c r="N82" s="268" cm="1">
        <f t="array" ref="N82">INDEX(WS.data,1,N$28,$B82)</f>
        <v>0</v>
      </c>
      <c r="O82" s="268" cm="1">
        <f t="array" ref="O82">INDEX(WS.data,1,O$28,$B82)</f>
        <v>0</v>
      </c>
    </row>
    <row r="83" spans="2:15" hidden="1" outlineLevel="2">
      <c r="B83" s="238">
        <f t="shared" si="2"/>
        <v>3</v>
      </c>
      <c r="C83" s="73" t="str">
        <v>SpareOfferB16</v>
      </c>
      <c r="D83" s="73" t="str">
        <v>Unlimited</v>
      </c>
      <c r="G83" s="268" cm="1">
        <f t="array" ref="G83">INDEX(WS.data,1,G$28,$B83)</f>
        <v>0</v>
      </c>
      <c r="H83" s="268" cm="1">
        <f t="array" ref="H83">INDEX(WS.data,1,H$28,$B83)</f>
        <v>0</v>
      </c>
      <c r="I83" s="268" cm="1">
        <f t="array" ref="I83">INDEX(WS.data,1,I$28,$B83)</f>
        <v>0</v>
      </c>
      <c r="J83" s="268" cm="1">
        <f t="array" ref="J83">INDEX(WS.data,1,J$28,$B83)</f>
        <v>0</v>
      </c>
      <c r="K83" s="268" cm="1">
        <f t="array" ref="K83">INDEX(WS.data,1,K$28,$B83)</f>
        <v>0</v>
      </c>
      <c r="L83" s="268" cm="1">
        <f t="array" ref="L83">INDEX(WS.data,1,L$28,$B83)</f>
        <v>0</v>
      </c>
      <c r="M83" s="268" cm="1">
        <f t="array" ref="M83">INDEX(WS.data,1,M$28,$B83)</f>
        <v>0</v>
      </c>
      <c r="N83" s="268" cm="1">
        <f t="array" ref="N83">INDEX(WS.data,1,N$28,$B83)</f>
        <v>0</v>
      </c>
      <c r="O83" s="268" cm="1">
        <f t="array" ref="O83">INDEX(WS.data,1,O$28,$B83)</f>
        <v>0</v>
      </c>
    </row>
    <row r="84" spans="2:15" hidden="1" outlineLevel="2">
      <c r="B84" s="238">
        <f t="shared" si="2"/>
        <v>3</v>
      </c>
      <c r="C84" s="73" t="str">
        <v>SpareOfferB17</v>
      </c>
      <c r="D84" s="73" t="str">
        <v>Unlimited</v>
      </c>
      <c r="G84" s="268" cm="1">
        <f t="array" ref="G84">INDEX(WS.data,1,G$28,$B84)</f>
        <v>0</v>
      </c>
      <c r="H84" s="268" cm="1">
        <f t="array" ref="H84">INDEX(WS.data,1,H$28,$B84)</f>
        <v>0</v>
      </c>
      <c r="I84" s="268" cm="1">
        <f t="array" ref="I84">INDEX(WS.data,1,I$28,$B84)</f>
        <v>0</v>
      </c>
      <c r="J84" s="268" cm="1">
        <f t="array" ref="J84">INDEX(WS.data,1,J$28,$B84)</f>
        <v>0</v>
      </c>
      <c r="K84" s="268" cm="1">
        <f t="array" ref="K84">INDEX(WS.data,1,K$28,$B84)</f>
        <v>0</v>
      </c>
      <c r="L84" s="268" cm="1">
        <f t="array" ref="L84">INDEX(WS.data,1,L$28,$B84)</f>
        <v>0</v>
      </c>
      <c r="M84" s="268" cm="1">
        <f t="array" ref="M84">INDEX(WS.data,1,M$28,$B84)</f>
        <v>0</v>
      </c>
      <c r="N84" s="268" cm="1">
        <f t="array" ref="N84">INDEX(WS.data,1,N$28,$B84)</f>
        <v>0</v>
      </c>
      <c r="O84" s="268" cm="1">
        <f t="array" ref="O84">INDEX(WS.data,1,O$28,$B84)</f>
        <v>0</v>
      </c>
    </row>
    <row r="85" spans="2:15" hidden="1" outlineLevel="2">
      <c r="B85" s="238">
        <f t="shared" si="2"/>
        <v>3</v>
      </c>
      <c r="C85" s="73" t="str">
        <v>SpareOfferB18</v>
      </c>
      <c r="D85" s="73" t="str">
        <v>Unlimited</v>
      </c>
      <c r="G85" s="268" cm="1">
        <f t="array" ref="G85">INDEX(WS.data,1,G$28,$B85)</f>
        <v>0</v>
      </c>
      <c r="H85" s="268" cm="1">
        <f t="array" ref="H85">INDEX(WS.data,1,H$28,$B85)</f>
        <v>0</v>
      </c>
      <c r="I85" s="268" cm="1">
        <f t="array" ref="I85">INDEX(WS.data,1,I$28,$B85)</f>
        <v>0</v>
      </c>
      <c r="J85" s="268" cm="1">
        <f t="array" ref="J85">INDEX(WS.data,1,J$28,$B85)</f>
        <v>0</v>
      </c>
      <c r="K85" s="268" cm="1">
        <f t="array" ref="K85">INDEX(WS.data,1,K$28,$B85)</f>
        <v>0</v>
      </c>
      <c r="L85" s="268" cm="1">
        <f t="array" ref="L85">INDEX(WS.data,1,L$28,$B85)</f>
        <v>0</v>
      </c>
      <c r="M85" s="268" cm="1">
        <f t="array" ref="M85">INDEX(WS.data,1,M$28,$B85)</f>
        <v>0</v>
      </c>
      <c r="N85" s="268" cm="1">
        <f t="array" ref="N85">INDEX(WS.data,1,N$28,$B85)</f>
        <v>0</v>
      </c>
      <c r="O85" s="268" cm="1">
        <f t="array" ref="O85">INDEX(WS.data,1,O$28,$B85)</f>
        <v>0</v>
      </c>
    </row>
    <row r="86" spans="2:15" hidden="1" outlineLevel="2">
      <c r="B86" s="238">
        <f t="shared" si="2"/>
        <v>3</v>
      </c>
      <c r="C86" s="73" t="str">
        <v>SpareOfferB19</v>
      </c>
      <c r="D86" s="73" t="str">
        <v>Unlimited</v>
      </c>
      <c r="G86" s="268" cm="1">
        <f t="array" ref="G86">INDEX(WS.data,1,G$28,$B86)</f>
        <v>0</v>
      </c>
      <c r="H86" s="268" cm="1">
        <f t="array" ref="H86">INDEX(WS.data,1,H$28,$B86)</f>
        <v>0</v>
      </c>
      <c r="I86" s="268" cm="1">
        <f t="array" ref="I86">INDEX(WS.data,1,I$28,$B86)</f>
        <v>0</v>
      </c>
      <c r="J86" s="268" cm="1">
        <f t="array" ref="J86">INDEX(WS.data,1,J$28,$B86)</f>
        <v>0</v>
      </c>
      <c r="K86" s="268" cm="1">
        <f t="array" ref="K86">INDEX(WS.data,1,K$28,$B86)</f>
        <v>0</v>
      </c>
      <c r="L86" s="268" cm="1">
        <f t="array" ref="L86">INDEX(WS.data,1,L$28,$B86)</f>
        <v>0</v>
      </c>
      <c r="M86" s="268" cm="1">
        <f t="array" ref="M86">INDEX(WS.data,1,M$28,$B86)</f>
        <v>0</v>
      </c>
      <c r="N86" s="268" cm="1">
        <f t="array" ref="N86">INDEX(WS.data,1,N$28,$B86)</f>
        <v>0</v>
      </c>
      <c r="O86" s="268" cm="1">
        <f t="array" ref="O86">INDEX(WS.data,1,O$28,$B86)</f>
        <v>0</v>
      </c>
    </row>
    <row r="87" spans="2:15" hidden="1" outlineLevel="2">
      <c r="B87" s="238">
        <f t="shared" si="2"/>
        <v>3</v>
      </c>
      <c r="C87" s="73" t="str">
        <v>SpareOfferB20</v>
      </c>
      <c r="D87" s="73" t="str">
        <v>Unlimited</v>
      </c>
      <c r="G87" s="268" cm="1">
        <f t="array" ref="G87">INDEX(WS.data,1,G$28,$B87)</f>
        <v>0</v>
      </c>
      <c r="H87" s="268" cm="1">
        <f t="array" ref="H87">INDEX(WS.data,1,H$28,$B87)</f>
        <v>0</v>
      </c>
      <c r="I87" s="268" cm="1">
        <f t="array" ref="I87">INDEX(WS.data,1,I$28,$B87)</f>
        <v>0</v>
      </c>
      <c r="J87" s="268" cm="1">
        <f t="array" ref="J87">INDEX(WS.data,1,J$28,$B87)</f>
        <v>0</v>
      </c>
      <c r="K87" s="268" cm="1">
        <f t="array" ref="K87">INDEX(WS.data,1,K$28,$B87)</f>
        <v>0</v>
      </c>
      <c r="L87" s="268" cm="1">
        <f t="array" ref="L87">INDEX(WS.data,1,L$28,$B87)</f>
        <v>0</v>
      </c>
      <c r="M87" s="268" cm="1">
        <f t="array" ref="M87">INDEX(WS.data,1,M$28,$B87)</f>
        <v>0</v>
      </c>
      <c r="N87" s="268" cm="1">
        <f t="array" ref="N87">INDEX(WS.data,1,N$28,$B87)</f>
        <v>0</v>
      </c>
      <c r="O87" s="268" cm="1">
        <f t="array" ref="O87">INDEX(WS.data,1,O$28,$B87)</f>
        <v>0</v>
      </c>
    </row>
    <row r="88" spans="2:15" hidden="1" outlineLevel="2">
      <c r="B88" s="238">
        <f t="shared" si="2"/>
        <v>3</v>
      </c>
      <c r="C88" s="73" t="str">
        <v>SpareOfferB21</v>
      </c>
      <c r="D88" s="73" t="str">
        <v>Unlimited</v>
      </c>
      <c r="G88" s="268" cm="1">
        <f t="array" ref="G88">INDEX(WS.data,1,G$28,$B88)</f>
        <v>0</v>
      </c>
      <c r="H88" s="268" cm="1">
        <f t="array" ref="H88">INDEX(WS.data,1,H$28,$B88)</f>
        <v>0</v>
      </c>
      <c r="I88" s="268" cm="1">
        <f t="array" ref="I88">INDEX(WS.data,1,I$28,$B88)</f>
        <v>0</v>
      </c>
      <c r="J88" s="268" cm="1">
        <f t="array" ref="J88">INDEX(WS.data,1,J$28,$B88)</f>
        <v>0</v>
      </c>
      <c r="K88" s="268" cm="1">
        <f t="array" ref="K88">INDEX(WS.data,1,K$28,$B88)</f>
        <v>0</v>
      </c>
      <c r="L88" s="268" cm="1">
        <f t="array" ref="L88">INDEX(WS.data,1,L$28,$B88)</f>
        <v>0</v>
      </c>
      <c r="M88" s="268" cm="1">
        <f t="array" ref="M88">INDEX(WS.data,1,M$28,$B88)</f>
        <v>0</v>
      </c>
      <c r="N88" s="268" cm="1">
        <f t="array" ref="N88">INDEX(WS.data,1,N$28,$B88)</f>
        <v>0</v>
      </c>
      <c r="O88" s="268" cm="1">
        <f t="array" ref="O88">INDEX(WS.data,1,O$28,$B88)</f>
        <v>0</v>
      </c>
    </row>
    <row r="89" spans="2:15" hidden="1" outlineLevel="2">
      <c r="B89" s="238">
        <f t="shared" si="2"/>
        <v>3</v>
      </c>
      <c r="C89" s="73" t="str">
        <v>SpareOfferB22</v>
      </c>
      <c r="D89" s="73" t="str">
        <v>Unlimited</v>
      </c>
      <c r="G89" s="268" cm="1">
        <f t="array" ref="G89">INDEX(WS.data,1,G$28,$B89)</f>
        <v>0</v>
      </c>
      <c r="H89" s="268" cm="1">
        <f t="array" ref="H89">INDEX(WS.data,1,H$28,$B89)</f>
        <v>0</v>
      </c>
      <c r="I89" s="268" cm="1">
        <f t="array" ref="I89">INDEX(WS.data,1,I$28,$B89)</f>
        <v>0</v>
      </c>
      <c r="J89" s="268" cm="1">
        <f t="array" ref="J89">INDEX(WS.data,1,J$28,$B89)</f>
        <v>0</v>
      </c>
      <c r="K89" s="268" cm="1">
        <f t="array" ref="K89">INDEX(WS.data,1,K$28,$B89)</f>
        <v>0</v>
      </c>
      <c r="L89" s="268" cm="1">
        <f t="array" ref="L89">INDEX(WS.data,1,L$28,$B89)</f>
        <v>0</v>
      </c>
      <c r="M89" s="268" cm="1">
        <f t="array" ref="M89">INDEX(WS.data,1,M$28,$B89)</f>
        <v>0</v>
      </c>
      <c r="N89" s="268" cm="1">
        <f t="array" ref="N89">INDEX(WS.data,1,N$28,$B89)</f>
        <v>0</v>
      </c>
      <c r="O89" s="268" cm="1">
        <f t="array" ref="O89">INDEX(WS.data,1,O$28,$B89)</f>
        <v>0</v>
      </c>
    </row>
    <row r="90" spans="2:15" hidden="1" outlineLevel="2">
      <c r="B90" s="238">
        <f t="shared" si="2"/>
        <v>3</v>
      </c>
      <c r="C90" s="73" t="str">
        <v>SpareOfferB23</v>
      </c>
      <c r="D90" s="73" t="str">
        <v>Unlimited</v>
      </c>
      <c r="G90" s="268" cm="1">
        <f t="array" ref="G90">INDEX(WS.data,1,G$28,$B90)</f>
        <v>0</v>
      </c>
      <c r="H90" s="268" cm="1">
        <f t="array" ref="H90">INDEX(WS.data,1,H$28,$B90)</f>
        <v>0</v>
      </c>
      <c r="I90" s="268" cm="1">
        <f t="array" ref="I90">INDEX(WS.data,1,I$28,$B90)</f>
        <v>0</v>
      </c>
      <c r="J90" s="268" cm="1">
        <f t="array" ref="J90">INDEX(WS.data,1,J$28,$B90)</f>
        <v>0</v>
      </c>
      <c r="K90" s="268" cm="1">
        <f t="array" ref="K90">INDEX(WS.data,1,K$28,$B90)</f>
        <v>0</v>
      </c>
      <c r="L90" s="268" cm="1">
        <f t="array" ref="L90">INDEX(WS.data,1,L$28,$B90)</f>
        <v>0</v>
      </c>
      <c r="M90" s="268" cm="1">
        <f t="array" ref="M90">INDEX(WS.data,1,M$28,$B90)</f>
        <v>0</v>
      </c>
      <c r="N90" s="268" cm="1">
        <f t="array" ref="N90">INDEX(WS.data,1,N$28,$B90)</f>
        <v>0</v>
      </c>
      <c r="O90" s="268" cm="1">
        <f t="array" ref="O90">INDEX(WS.data,1,O$28,$B90)</f>
        <v>0</v>
      </c>
    </row>
    <row r="91" spans="2:15" hidden="1" outlineLevel="2">
      <c r="B91" s="238">
        <f t="shared" si="2"/>
        <v>3</v>
      </c>
      <c r="C91" s="73" t="str">
        <v>SpareOfferB24</v>
      </c>
      <c r="D91" s="73" t="str">
        <v>Unlimited</v>
      </c>
      <c r="G91" s="268" cm="1">
        <f t="array" ref="G91">INDEX(WS.data,1,G$28,$B91)</f>
        <v>0</v>
      </c>
      <c r="H91" s="268" cm="1">
        <f t="array" ref="H91">INDEX(WS.data,1,H$28,$B91)</f>
        <v>0</v>
      </c>
      <c r="I91" s="268" cm="1">
        <f t="array" ref="I91">INDEX(WS.data,1,I$28,$B91)</f>
        <v>0</v>
      </c>
      <c r="J91" s="268" cm="1">
        <f t="array" ref="J91">INDEX(WS.data,1,J$28,$B91)</f>
        <v>0</v>
      </c>
      <c r="K91" s="268" cm="1">
        <f t="array" ref="K91">INDEX(WS.data,1,K$28,$B91)</f>
        <v>0</v>
      </c>
      <c r="L91" s="268" cm="1">
        <f t="array" ref="L91">INDEX(WS.data,1,L$28,$B91)</f>
        <v>0</v>
      </c>
      <c r="M91" s="268" cm="1">
        <f t="array" ref="M91">INDEX(WS.data,1,M$28,$B91)</f>
        <v>0</v>
      </c>
      <c r="N91" s="268" cm="1">
        <f t="array" ref="N91">INDEX(WS.data,1,N$28,$B91)</f>
        <v>0</v>
      </c>
      <c r="O91" s="268" cm="1">
        <f t="array" ref="O91">INDEX(WS.data,1,O$28,$B91)</f>
        <v>0</v>
      </c>
    </row>
    <row r="92" spans="2:15" hidden="1" outlineLevel="2">
      <c r="B92" s="238">
        <f t="shared" si="2"/>
        <v>3</v>
      </c>
      <c r="C92" s="73" t="str">
        <v>SpareOfferB25</v>
      </c>
      <c r="D92" s="73" t="str">
        <v>Unlimited</v>
      </c>
      <c r="G92" s="268" cm="1">
        <f t="array" ref="G92">INDEX(WS.data,1,G$28,$B92)</f>
        <v>0</v>
      </c>
      <c r="H92" s="268" cm="1">
        <f t="array" ref="H92">INDEX(WS.data,1,H$28,$B92)</f>
        <v>0</v>
      </c>
      <c r="I92" s="268" cm="1">
        <f t="array" ref="I92">INDEX(WS.data,1,I$28,$B92)</f>
        <v>0</v>
      </c>
      <c r="J92" s="268" cm="1">
        <f t="array" ref="J92">INDEX(WS.data,1,J$28,$B92)</f>
        <v>0</v>
      </c>
      <c r="K92" s="268" cm="1">
        <f t="array" ref="K92">INDEX(WS.data,1,K$28,$B92)</f>
        <v>0</v>
      </c>
      <c r="L92" s="268" cm="1">
        <f t="array" ref="L92">INDEX(WS.data,1,L$28,$B92)</f>
        <v>0</v>
      </c>
      <c r="M92" s="268" cm="1">
        <f t="array" ref="M92">INDEX(WS.data,1,M$28,$B92)</f>
        <v>0</v>
      </c>
      <c r="N92" s="268" cm="1">
        <f t="array" ref="N92">INDEX(WS.data,1,N$28,$B92)</f>
        <v>0</v>
      </c>
      <c r="O92" s="268" cm="1">
        <f t="array" ref="O92">INDEX(WS.data,1,O$28,$B92)</f>
        <v>0</v>
      </c>
    </row>
    <row r="93" spans="2:15" hidden="1" outlineLevel="2">
      <c r="B93" s="238">
        <f t="shared" si="2"/>
        <v>3</v>
      </c>
      <c r="C93" s="73" t="str">
        <v>SpareOfferB26</v>
      </c>
      <c r="D93" s="73" t="str">
        <v>Unlimited</v>
      </c>
      <c r="G93" s="268" cm="1">
        <f t="array" ref="G93">INDEX(WS.data,1,G$28,$B93)</f>
        <v>0</v>
      </c>
      <c r="H93" s="268" cm="1">
        <f t="array" ref="H93">INDEX(WS.data,1,H$28,$B93)</f>
        <v>0</v>
      </c>
      <c r="I93" s="268" cm="1">
        <f t="array" ref="I93">INDEX(WS.data,1,I$28,$B93)</f>
        <v>0</v>
      </c>
      <c r="J93" s="268" cm="1">
        <f t="array" ref="J93">INDEX(WS.data,1,J$28,$B93)</f>
        <v>0</v>
      </c>
      <c r="K93" s="268" cm="1">
        <f t="array" ref="K93">INDEX(WS.data,1,K$28,$B93)</f>
        <v>0</v>
      </c>
      <c r="L93" s="268" cm="1">
        <f t="array" ref="L93">INDEX(WS.data,1,L$28,$B93)</f>
        <v>0</v>
      </c>
      <c r="M93" s="268" cm="1">
        <f t="array" ref="M93">INDEX(WS.data,1,M$28,$B93)</f>
        <v>0</v>
      </c>
      <c r="N93" s="268" cm="1">
        <f t="array" ref="N93">INDEX(WS.data,1,N$28,$B93)</f>
        <v>0</v>
      </c>
      <c r="O93" s="268" cm="1">
        <f t="array" ref="O93">INDEX(WS.data,1,O$28,$B93)</f>
        <v>0</v>
      </c>
    </row>
    <row r="94" spans="2:15" hidden="1" outlineLevel="2">
      <c r="B94" s="238">
        <f t="shared" si="2"/>
        <v>3</v>
      </c>
      <c r="C94" s="73" t="str">
        <v>SpareOfferB27</v>
      </c>
      <c r="D94" s="73" t="str">
        <v>Unlimited</v>
      </c>
      <c r="G94" s="268" cm="1">
        <f t="array" ref="G94">INDEX(WS.data,1,G$28,$B94)</f>
        <v>0</v>
      </c>
      <c r="H94" s="268" cm="1">
        <f t="array" ref="H94">INDEX(WS.data,1,H$28,$B94)</f>
        <v>0</v>
      </c>
      <c r="I94" s="268" cm="1">
        <f t="array" ref="I94">INDEX(WS.data,1,I$28,$B94)</f>
        <v>0</v>
      </c>
      <c r="J94" s="268" cm="1">
        <f t="array" ref="J94">INDEX(WS.data,1,J$28,$B94)</f>
        <v>0</v>
      </c>
      <c r="K94" s="268" cm="1">
        <f t="array" ref="K94">INDEX(WS.data,1,K$28,$B94)</f>
        <v>0</v>
      </c>
      <c r="L94" s="268" cm="1">
        <f t="array" ref="L94">INDEX(WS.data,1,L$28,$B94)</f>
        <v>0</v>
      </c>
      <c r="M94" s="268" cm="1">
        <f t="array" ref="M94">INDEX(WS.data,1,M$28,$B94)</f>
        <v>0</v>
      </c>
      <c r="N94" s="268" cm="1">
        <f t="array" ref="N94">INDEX(WS.data,1,N$28,$B94)</f>
        <v>0</v>
      </c>
      <c r="O94" s="268" cm="1">
        <f t="array" ref="O94">INDEX(WS.data,1,O$28,$B94)</f>
        <v>0</v>
      </c>
    </row>
    <row r="95" spans="2:15" hidden="1" outlineLevel="2">
      <c r="B95" s="238">
        <f t="shared" si="2"/>
        <v>3</v>
      </c>
      <c r="C95" s="73" t="str">
        <v>SpareOfferB28</v>
      </c>
      <c r="D95" s="73" t="str">
        <v>Unlimited</v>
      </c>
      <c r="G95" s="268" cm="1">
        <f t="array" ref="G95">INDEX(WS.data,1,G$28,$B95)</f>
        <v>0</v>
      </c>
      <c r="H95" s="268" cm="1">
        <f t="array" ref="H95">INDEX(WS.data,1,H$28,$B95)</f>
        <v>0</v>
      </c>
      <c r="I95" s="268" cm="1">
        <f t="array" ref="I95">INDEX(WS.data,1,I$28,$B95)</f>
        <v>0</v>
      </c>
      <c r="J95" s="268" cm="1">
        <f t="array" ref="J95">INDEX(WS.data,1,J$28,$B95)</f>
        <v>0</v>
      </c>
      <c r="K95" s="268" cm="1">
        <f t="array" ref="K95">INDEX(WS.data,1,K$28,$B95)</f>
        <v>0</v>
      </c>
      <c r="L95" s="268" cm="1">
        <f t="array" ref="L95">INDEX(WS.data,1,L$28,$B95)</f>
        <v>0</v>
      </c>
      <c r="M95" s="268" cm="1">
        <f t="array" ref="M95">INDEX(WS.data,1,M$28,$B95)</f>
        <v>0</v>
      </c>
      <c r="N95" s="268" cm="1">
        <f t="array" ref="N95">INDEX(WS.data,1,N$28,$B95)</f>
        <v>0</v>
      </c>
      <c r="O95" s="268" cm="1">
        <f t="array" ref="O95">INDEX(WS.data,1,O$28,$B95)</f>
        <v>0</v>
      </c>
    </row>
    <row r="96" spans="2:15" hidden="1" outlineLevel="2">
      <c r="B96" s="238">
        <f t="shared" si="2"/>
        <v>3</v>
      </c>
      <c r="C96" s="73" t="str">
        <v>SpareOfferB29</v>
      </c>
      <c r="D96" s="73" t="str">
        <v>Unlimited</v>
      </c>
      <c r="G96" s="268" cm="1">
        <f t="array" ref="G96">INDEX(WS.data,1,G$28,$B96)</f>
        <v>0</v>
      </c>
      <c r="H96" s="268" cm="1">
        <f t="array" ref="H96">INDEX(WS.data,1,H$28,$B96)</f>
        <v>0</v>
      </c>
      <c r="I96" s="268" cm="1">
        <f t="array" ref="I96">INDEX(WS.data,1,I$28,$B96)</f>
        <v>0</v>
      </c>
      <c r="J96" s="268" cm="1">
        <f t="array" ref="J96">INDEX(WS.data,1,J$28,$B96)</f>
        <v>0</v>
      </c>
      <c r="K96" s="268" cm="1">
        <f t="array" ref="K96">INDEX(WS.data,1,K$28,$B96)</f>
        <v>0</v>
      </c>
      <c r="L96" s="268" cm="1">
        <f t="array" ref="L96">INDEX(WS.data,1,L$28,$B96)</f>
        <v>0</v>
      </c>
      <c r="M96" s="268" cm="1">
        <f t="array" ref="M96">INDEX(WS.data,1,M$28,$B96)</f>
        <v>0</v>
      </c>
      <c r="N96" s="268" cm="1">
        <f t="array" ref="N96">INDEX(WS.data,1,N$28,$B96)</f>
        <v>0</v>
      </c>
      <c r="O96" s="268" cm="1">
        <f t="array" ref="O96">INDEX(WS.data,1,O$28,$B96)</f>
        <v>0</v>
      </c>
    </row>
    <row r="97" spans="2:15" hidden="1" outlineLevel="2">
      <c r="B97" s="238">
        <f t="shared" si="2"/>
        <v>3</v>
      </c>
      <c r="C97" s="73" t="str">
        <v>SpareOfferB30</v>
      </c>
      <c r="D97" s="73" t="str">
        <v>Unlimited</v>
      </c>
      <c r="G97" s="268" cm="1">
        <f t="array" ref="G97">INDEX(WS.data,1,G$28,$B97)</f>
        <v>0</v>
      </c>
      <c r="H97" s="268" cm="1">
        <f t="array" ref="H97">INDEX(WS.data,1,H$28,$B97)</f>
        <v>0</v>
      </c>
      <c r="I97" s="268" cm="1">
        <f t="array" ref="I97">INDEX(WS.data,1,I$28,$B97)</f>
        <v>0</v>
      </c>
      <c r="J97" s="268" cm="1">
        <f t="array" ref="J97">INDEX(WS.data,1,J$28,$B97)</f>
        <v>0</v>
      </c>
      <c r="K97" s="268" cm="1">
        <f t="array" ref="K97">INDEX(WS.data,1,K$28,$B97)</f>
        <v>0</v>
      </c>
      <c r="L97" s="268" cm="1">
        <f t="array" ref="L97">INDEX(WS.data,1,L$28,$B97)</f>
        <v>0</v>
      </c>
      <c r="M97" s="268" cm="1">
        <f t="array" ref="M97">INDEX(WS.data,1,M$28,$B97)</f>
        <v>0</v>
      </c>
      <c r="N97" s="268" cm="1">
        <f t="array" ref="N97">INDEX(WS.data,1,N$28,$B97)</f>
        <v>0</v>
      </c>
      <c r="O97" s="268" cm="1">
        <f t="array" ref="O97">INDEX(WS.data,1,O$28,$B97)</f>
        <v>0</v>
      </c>
    </row>
    <row r="98" spans="2:15" hidden="1" outlineLevel="2">
      <c r="B98" s="238">
        <f t="shared" si="2"/>
        <v>3</v>
      </c>
      <c r="C98" s="73" t="str">
        <v>SpareOfferB31</v>
      </c>
      <c r="D98" s="73" t="str">
        <v>Unlimited</v>
      </c>
      <c r="G98" s="268" cm="1">
        <f t="array" ref="G98">INDEX(WS.data,1,G$28,$B98)</f>
        <v>0</v>
      </c>
      <c r="H98" s="268" cm="1">
        <f t="array" ref="H98">INDEX(WS.data,1,H$28,$B98)</f>
        <v>0</v>
      </c>
      <c r="I98" s="268" cm="1">
        <f t="array" ref="I98">INDEX(WS.data,1,I$28,$B98)</f>
        <v>0</v>
      </c>
      <c r="J98" s="268" cm="1">
        <f t="array" ref="J98">INDEX(WS.data,1,J$28,$B98)</f>
        <v>0</v>
      </c>
      <c r="K98" s="268" cm="1">
        <f t="array" ref="K98">INDEX(WS.data,1,K$28,$B98)</f>
        <v>0</v>
      </c>
      <c r="L98" s="268" cm="1">
        <f t="array" ref="L98">INDEX(WS.data,1,L$28,$B98)</f>
        <v>0</v>
      </c>
      <c r="M98" s="268" cm="1">
        <f t="array" ref="M98">INDEX(WS.data,1,M$28,$B98)</f>
        <v>0</v>
      </c>
      <c r="N98" s="268" cm="1">
        <f t="array" ref="N98">INDEX(WS.data,1,N$28,$B98)</f>
        <v>0</v>
      </c>
      <c r="O98" s="268" cm="1">
        <f t="array" ref="O98">INDEX(WS.data,1,O$28,$B98)</f>
        <v>0</v>
      </c>
    </row>
    <row r="99" spans="2:15" hidden="1" outlineLevel="2">
      <c r="B99" s="238">
        <f t="shared" si="2"/>
        <v>3</v>
      </c>
      <c r="C99" s="73" t="str">
        <v>SpareOfferB32</v>
      </c>
      <c r="D99" s="73" t="str">
        <v>Unlimited</v>
      </c>
      <c r="G99" s="268" cm="1">
        <f t="array" ref="G99">INDEX(WS.data,1,G$28,$B99)</f>
        <v>0</v>
      </c>
      <c r="H99" s="268" cm="1">
        <f t="array" ref="H99">INDEX(WS.data,1,H$28,$B99)</f>
        <v>0</v>
      </c>
      <c r="I99" s="268" cm="1">
        <f t="array" ref="I99">INDEX(WS.data,1,I$28,$B99)</f>
        <v>0</v>
      </c>
      <c r="J99" s="268" cm="1">
        <f t="array" ref="J99">INDEX(WS.data,1,J$28,$B99)</f>
        <v>0</v>
      </c>
      <c r="K99" s="268" cm="1">
        <f t="array" ref="K99">INDEX(WS.data,1,K$28,$B99)</f>
        <v>0</v>
      </c>
      <c r="L99" s="268" cm="1">
        <f t="array" ref="L99">INDEX(WS.data,1,L$28,$B99)</f>
        <v>0</v>
      </c>
      <c r="M99" s="268" cm="1">
        <f t="array" ref="M99">INDEX(WS.data,1,M$28,$B99)</f>
        <v>0</v>
      </c>
      <c r="N99" s="268" cm="1">
        <f t="array" ref="N99">INDEX(WS.data,1,N$28,$B99)</f>
        <v>0</v>
      </c>
      <c r="O99" s="268" cm="1">
        <f t="array" ref="O99">INDEX(WS.data,1,O$28,$B99)</f>
        <v>0</v>
      </c>
    </row>
    <row r="100" spans="2:15" hidden="1" outlineLevel="2">
      <c r="B100" s="238">
        <f t="shared" si="2"/>
        <v>3</v>
      </c>
      <c r="C100" s="73" t="str">
        <v>SpareOfferB33</v>
      </c>
      <c r="D100" s="73" t="str">
        <v>Unlimited</v>
      </c>
      <c r="G100" s="268" cm="1">
        <f t="array" ref="G100">INDEX(WS.data,1,G$28,$B100)</f>
        <v>0</v>
      </c>
      <c r="H100" s="268" cm="1">
        <f t="array" ref="H100">INDEX(WS.data,1,H$28,$B100)</f>
        <v>0</v>
      </c>
      <c r="I100" s="268" cm="1">
        <f t="array" ref="I100">INDEX(WS.data,1,I$28,$B100)</f>
        <v>0</v>
      </c>
      <c r="J100" s="268" cm="1">
        <f t="array" ref="J100">INDEX(WS.data,1,J$28,$B100)</f>
        <v>0</v>
      </c>
      <c r="K100" s="268" cm="1">
        <f t="array" ref="K100">INDEX(WS.data,1,K$28,$B100)</f>
        <v>0</v>
      </c>
      <c r="L100" s="268" cm="1">
        <f t="array" ref="L100">INDEX(WS.data,1,L$28,$B100)</f>
        <v>0</v>
      </c>
      <c r="M100" s="268" cm="1">
        <f t="array" ref="M100">INDEX(WS.data,1,M$28,$B100)</f>
        <v>0</v>
      </c>
      <c r="N100" s="268" cm="1">
        <f t="array" ref="N100">INDEX(WS.data,1,N$28,$B100)</f>
        <v>0</v>
      </c>
      <c r="O100" s="268" cm="1">
        <f t="array" ref="O100">INDEX(WS.data,1,O$28,$B100)</f>
        <v>0</v>
      </c>
    </row>
    <row r="101" spans="2:15" hidden="1" outlineLevel="2">
      <c r="B101" s="238">
        <f t="shared" si="2"/>
        <v>3</v>
      </c>
      <c r="C101" s="73" t="str">
        <v>SpareOfferB34</v>
      </c>
      <c r="D101" s="73" t="str">
        <v>Unlimited</v>
      </c>
      <c r="G101" s="268" cm="1">
        <f t="array" ref="G101">INDEX(WS.data,1,G$28,$B101)</f>
        <v>0</v>
      </c>
      <c r="H101" s="268" cm="1">
        <f t="array" ref="H101">INDEX(WS.data,1,H$28,$B101)</f>
        <v>0</v>
      </c>
      <c r="I101" s="268" cm="1">
        <f t="array" ref="I101">INDEX(WS.data,1,I$28,$B101)</f>
        <v>0</v>
      </c>
      <c r="J101" s="268" cm="1">
        <f t="array" ref="J101">INDEX(WS.data,1,J$28,$B101)</f>
        <v>0</v>
      </c>
      <c r="K101" s="268" cm="1">
        <f t="array" ref="K101">INDEX(WS.data,1,K$28,$B101)</f>
        <v>0</v>
      </c>
      <c r="L101" s="268" cm="1">
        <f t="array" ref="L101">INDEX(WS.data,1,L$28,$B101)</f>
        <v>0</v>
      </c>
      <c r="M101" s="268" cm="1">
        <f t="array" ref="M101">INDEX(WS.data,1,M$28,$B101)</f>
        <v>0</v>
      </c>
      <c r="N101" s="268" cm="1">
        <f t="array" ref="N101">INDEX(WS.data,1,N$28,$B101)</f>
        <v>0</v>
      </c>
      <c r="O101" s="268" cm="1">
        <f t="array" ref="O101">INDEX(WS.data,1,O$28,$B101)</f>
        <v>0</v>
      </c>
    </row>
    <row r="102" spans="2:15" outlineLevel="1" collapsed="1">
      <c r="B102" s="238">
        <f t="shared" si="2"/>
        <v>3</v>
      </c>
      <c r="C102" s="73" t="str">
        <v>SpareOfferB35</v>
      </c>
      <c r="D102" s="73" t="str">
        <v>Unlimited</v>
      </c>
      <c r="G102" s="268" cm="1">
        <f t="array" ref="G102">INDEX(WS.data,1,G$28,$B102)</f>
        <v>0</v>
      </c>
      <c r="H102" s="268" cm="1">
        <f t="array" ref="H102">INDEX(WS.data,1,H$28,$B102)</f>
        <v>0</v>
      </c>
      <c r="I102" s="268" cm="1">
        <f t="array" ref="I102">INDEX(WS.data,1,I$28,$B102)</f>
        <v>0</v>
      </c>
      <c r="J102" s="268" cm="1">
        <f t="array" ref="J102">INDEX(WS.data,1,J$28,$B102)</f>
        <v>0</v>
      </c>
      <c r="K102" s="268" cm="1">
        <f t="array" ref="K102">INDEX(WS.data,1,K$28,$B102)</f>
        <v>0</v>
      </c>
      <c r="L102" s="268" cm="1">
        <f t="array" ref="L102">INDEX(WS.data,1,L$28,$B102)</f>
        <v>0</v>
      </c>
      <c r="M102" s="268" cm="1">
        <f t="array" ref="M102">INDEX(WS.data,1,M$28,$B102)</f>
        <v>0</v>
      </c>
      <c r="N102" s="268" cm="1">
        <f t="array" ref="N102">INDEX(WS.data,1,N$28,$B102)</f>
        <v>0</v>
      </c>
      <c r="O102" s="268" cm="1">
        <f t="array" ref="O102">INDEX(WS.data,1,O$28,$B102)</f>
        <v>0</v>
      </c>
    </row>
    <row r="103" spans="2:15" outlineLevel="1"/>
    <row r="104" spans="2:15" outlineLevel="1">
      <c r="B104" s="238">
        <f t="shared" ref="B104:B138" si="3">MATCH(D104,data.speed.options,0)</f>
        <v>3</v>
      </c>
      <c r="C104" s="73" t="str">
        <f t="array" ref="C104:C138">offers.segment.3</f>
        <v>SpareOfferC1</v>
      </c>
      <c r="D104" s="73" t="str">
        <f t="array" ref="D104:D138">data.speed.options.segment.3</f>
        <v>Unlimited</v>
      </c>
      <c r="G104" s="268" cm="1">
        <f t="array" ref="G104">INDEX(WS.data,1,G$28,$B104)</f>
        <v>0</v>
      </c>
      <c r="H104" s="268" cm="1">
        <f t="array" ref="H104">INDEX(WS.data,1,H$28,$B104)</f>
        <v>0</v>
      </c>
      <c r="I104" s="268" cm="1">
        <f t="array" ref="I104">INDEX(WS.data,1,I$28,$B104)</f>
        <v>0</v>
      </c>
      <c r="J104" s="268" cm="1">
        <f t="array" ref="J104">INDEX(WS.data,1,J$28,$B104)</f>
        <v>0</v>
      </c>
      <c r="K104" s="268" cm="1">
        <f t="array" ref="K104">INDEX(WS.data,1,K$28,$B104)</f>
        <v>0</v>
      </c>
      <c r="L104" s="268" cm="1">
        <f t="array" ref="L104">INDEX(WS.data,1,L$28,$B104)</f>
        <v>0</v>
      </c>
      <c r="M104" s="268" cm="1">
        <f t="array" ref="M104">INDEX(WS.data,1,M$28,$B104)</f>
        <v>0</v>
      </c>
      <c r="N104" s="268" cm="1">
        <f t="array" ref="N104">INDEX(WS.data,1,N$28,$B104)</f>
        <v>0</v>
      </c>
      <c r="O104" s="268" cm="1">
        <f t="array" ref="O104">INDEX(WS.data,1,O$28,$B104)</f>
        <v>0</v>
      </c>
    </row>
    <row r="105" spans="2:15" hidden="1" outlineLevel="2">
      <c r="B105" s="238">
        <f t="shared" si="3"/>
        <v>3</v>
      </c>
      <c r="C105" s="73" t="str">
        <v>SpareOfferC2</v>
      </c>
      <c r="D105" s="73" t="str">
        <v>Unlimited</v>
      </c>
      <c r="G105" s="268" cm="1">
        <f t="array" ref="G105">INDEX(WS.data,1,G$28,$B105)</f>
        <v>0</v>
      </c>
      <c r="H105" s="268" cm="1">
        <f t="array" ref="H105">INDEX(WS.data,1,H$28,$B105)</f>
        <v>0</v>
      </c>
      <c r="I105" s="268" cm="1">
        <f t="array" ref="I105">INDEX(WS.data,1,I$28,$B105)</f>
        <v>0</v>
      </c>
      <c r="J105" s="268" cm="1">
        <f t="array" ref="J105">INDEX(WS.data,1,J$28,$B105)</f>
        <v>0</v>
      </c>
      <c r="K105" s="268" cm="1">
        <f t="array" ref="K105">INDEX(WS.data,1,K$28,$B105)</f>
        <v>0</v>
      </c>
      <c r="L105" s="268" cm="1">
        <f t="array" ref="L105">INDEX(WS.data,1,L$28,$B105)</f>
        <v>0</v>
      </c>
      <c r="M105" s="268" cm="1">
        <f t="array" ref="M105">INDEX(WS.data,1,M$28,$B105)</f>
        <v>0</v>
      </c>
      <c r="N105" s="268" cm="1">
        <f t="array" ref="N105">INDEX(WS.data,1,N$28,$B105)</f>
        <v>0</v>
      </c>
      <c r="O105" s="268" cm="1">
        <f t="array" ref="O105">INDEX(WS.data,1,O$28,$B105)</f>
        <v>0</v>
      </c>
    </row>
    <row r="106" spans="2:15" hidden="1" outlineLevel="2">
      <c r="B106" s="238">
        <f t="shared" si="3"/>
        <v>3</v>
      </c>
      <c r="C106" s="73" t="str">
        <v>SpareOfferC3</v>
      </c>
      <c r="D106" s="73" t="str">
        <v>Unlimited</v>
      </c>
      <c r="G106" s="268" cm="1">
        <f t="array" ref="G106">INDEX(WS.data,1,G$28,$B106)</f>
        <v>0</v>
      </c>
      <c r="H106" s="268" cm="1">
        <f t="array" ref="H106">INDEX(WS.data,1,H$28,$B106)</f>
        <v>0</v>
      </c>
      <c r="I106" s="268" cm="1">
        <f t="array" ref="I106">INDEX(WS.data,1,I$28,$B106)</f>
        <v>0</v>
      </c>
      <c r="J106" s="268" cm="1">
        <f t="array" ref="J106">INDEX(WS.data,1,J$28,$B106)</f>
        <v>0</v>
      </c>
      <c r="K106" s="268" cm="1">
        <f t="array" ref="K106">INDEX(WS.data,1,K$28,$B106)</f>
        <v>0</v>
      </c>
      <c r="L106" s="268" cm="1">
        <f t="array" ref="L106">INDEX(WS.data,1,L$28,$B106)</f>
        <v>0</v>
      </c>
      <c r="M106" s="268" cm="1">
        <f t="array" ref="M106">INDEX(WS.data,1,M$28,$B106)</f>
        <v>0</v>
      </c>
      <c r="N106" s="268" cm="1">
        <f t="array" ref="N106">INDEX(WS.data,1,N$28,$B106)</f>
        <v>0</v>
      </c>
      <c r="O106" s="268" cm="1">
        <f t="array" ref="O106">INDEX(WS.data,1,O$28,$B106)</f>
        <v>0</v>
      </c>
    </row>
    <row r="107" spans="2:15" hidden="1" outlineLevel="2">
      <c r="B107" s="238">
        <f t="shared" si="3"/>
        <v>3</v>
      </c>
      <c r="C107" s="73" t="str">
        <v>SpareOfferC4</v>
      </c>
      <c r="D107" s="73" t="str">
        <v>Unlimited</v>
      </c>
      <c r="G107" s="268" cm="1">
        <f t="array" ref="G107">INDEX(WS.data,1,G$28,$B107)</f>
        <v>0</v>
      </c>
      <c r="H107" s="268" cm="1">
        <f t="array" ref="H107">INDEX(WS.data,1,H$28,$B107)</f>
        <v>0</v>
      </c>
      <c r="I107" s="268" cm="1">
        <f t="array" ref="I107">INDEX(WS.data,1,I$28,$B107)</f>
        <v>0</v>
      </c>
      <c r="J107" s="268" cm="1">
        <f t="array" ref="J107">INDEX(WS.data,1,J$28,$B107)</f>
        <v>0</v>
      </c>
      <c r="K107" s="268" cm="1">
        <f t="array" ref="K107">INDEX(WS.data,1,K$28,$B107)</f>
        <v>0</v>
      </c>
      <c r="L107" s="268" cm="1">
        <f t="array" ref="L107">INDEX(WS.data,1,L$28,$B107)</f>
        <v>0</v>
      </c>
      <c r="M107" s="268" cm="1">
        <f t="array" ref="M107">INDEX(WS.data,1,M$28,$B107)</f>
        <v>0</v>
      </c>
      <c r="N107" s="268" cm="1">
        <f t="array" ref="N107">INDEX(WS.data,1,N$28,$B107)</f>
        <v>0</v>
      </c>
      <c r="O107" s="268" cm="1">
        <f t="array" ref="O107">INDEX(WS.data,1,O$28,$B107)</f>
        <v>0</v>
      </c>
    </row>
    <row r="108" spans="2:15" hidden="1" outlineLevel="2">
      <c r="B108" s="238">
        <f t="shared" si="3"/>
        <v>3</v>
      </c>
      <c r="C108" s="73" t="str">
        <v>SpareOfferC5</v>
      </c>
      <c r="D108" s="73" t="str">
        <v>Unlimited</v>
      </c>
      <c r="G108" s="268" cm="1">
        <f t="array" ref="G108">INDEX(WS.data,1,G$28,$B108)</f>
        <v>0</v>
      </c>
      <c r="H108" s="268" cm="1">
        <f t="array" ref="H108">INDEX(WS.data,1,H$28,$B108)</f>
        <v>0</v>
      </c>
      <c r="I108" s="268" cm="1">
        <f t="array" ref="I108">INDEX(WS.data,1,I$28,$B108)</f>
        <v>0</v>
      </c>
      <c r="J108" s="268" cm="1">
        <f t="array" ref="J108">INDEX(WS.data,1,J$28,$B108)</f>
        <v>0</v>
      </c>
      <c r="K108" s="268" cm="1">
        <f t="array" ref="K108">INDEX(WS.data,1,K$28,$B108)</f>
        <v>0</v>
      </c>
      <c r="L108" s="268" cm="1">
        <f t="array" ref="L108">INDEX(WS.data,1,L$28,$B108)</f>
        <v>0</v>
      </c>
      <c r="M108" s="268" cm="1">
        <f t="array" ref="M108">INDEX(WS.data,1,M$28,$B108)</f>
        <v>0</v>
      </c>
      <c r="N108" s="268" cm="1">
        <f t="array" ref="N108">INDEX(WS.data,1,N$28,$B108)</f>
        <v>0</v>
      </c>
      <c r="O108" s="268" cm="1">
        <f t="array" ref="O108">INDEX(WS.data,1,O$28,$B108)</f>
        <v>0</v>
      </c>
    </row>
    <row r="109" spans="2:15" hidden="1" outlineLevel="2">
      <c r="B109" s="238">
        <f t="shared" si="3"/>
        <v>3</v>
      </c>
      <c r="C109" s="73" t="str">
        <v>SpareOfferC6</v>
      </c>
      <c r="D109" s="73" t="str">
        <v>Unlimited</v>
      </c>
      <c r="G109" s="268" cm="1">
        <f t="array" ref="G109">INDEX(WS.data,1,G$28,$B109)</f>
        <v>0</v>
      </c>
      <c r="H109" s="268" cm="1">
        <f t="array" ref="H109">INDEX(WS.data,1,H$28,$B109)</f>
        <v>0</v>
      </c>
      <c r="I109" s="268" cm="1">
        <f t="array" ref="I109">INDEX(WS.data,1,I$28,$B109)</f>
        <v>0</v>
      </c>
      <c r="J109" s="268" cm="1">
        <f t="array" ref="J109">INDEX(WS.data,1,J$28,$B109)</f>
        <v>0</v>
      </c>
      <c r="K109" s="268" cm="1">
        <f t="array" ref="K109">INDEX(WS.data,1,K$28,$B109)</f>
        <v>0</v>
      </c>
      <c r="L109" s="268" cm="1">
        <f t="array" ref="L109">INDEX(WS.data,1,L$28,$B109)</f>
        <v>0</v>
      </c>
      <c r="M109" s="268" cm="1">
        <f t="array" ref="M109">INDEX(WS.data,1,M$28,$B109)</f>
        <v>0</v>
      </c>
      <c r="N109" s="268" cm="1">
        <f t="array" ref="N109">INDEX(WS.data,1,N$28,$B109)</f>
        <v>0</v>
      </c>
      <c r="O109" s="268" cm="1">
        <f t="array" ref="O109">INDEX(WS.data,1,O$28,$B109)</f>
        <v>0</v>
      </c>
    </row>
    <row r="110" spans="2:15" hidden="1" outlineLevel="2">
      <c r="B110" s="238">
        <f t="shared" si="3"/>
        <v>3</v>
      </c>
      <c r="C110" s="73" t="str">
        <v>SpareOfferC7</v>
      </c>
      <c r="D110" s="73" t="str">
        <v>Unlimited</v>
      </c>
      <c r="G110" s="268" cm="1">
        <f t="array" ref="G110">INDEX(WS.data,1,G$28,$B110)</f>
        <v>0</v>
      </c>
      <c r="H110" s="268" cm="1">
        <f t="array" ref="H110">INDEX(WS.data,1,H$28,$B110)</f>
        <v>0</v>
      </c>
      <c r="I110" s="268" cm="1">
        <f t="array" ref="I110">INDEX(WS.data,1,I$28,$B110)</f>
        <v>0</v>
      </c>
      <c r="J110" s="268" cm="1">
        <f t="array" ref="J110">INDEX(WS.data,1,J$28,$B110)</f>
        <v>0</v>
      </c>
      <c r="K110" s="268" cm="1">
        <f t="array" ref="K110">INDEX(WS.data,1,K$28,$B110)</f>
        <v>0</v>
      </c>
      <c r="L110" s="268" cm="1">
        <f t="array" ref="L110">INDEX(WS.data,1,L$28,$B110)</f>
        <v>0</v>
      </c>
      <c r="M110" s="268" cm="1">
        <f t="array" ref="M110">INDEX(WS.data,1,M$28,$B110)</f>
        <v>0</v>
      </c>
      <c r="N110" s="268" cm="1">
        <f t="array" ref="N110">INDEX(WS.data,1,N$28,$B110)</f>
        <v>0</v>
      </c>
      <c r="O110" s="268" cm="1">
        <f t="array" ref="O110">INDEX(WS.data,1,O$28,$B110)</f>
        <v>0</v>
      </c>
    </row>
    <row r="111" spans="2:15" hidden="1" outlineLevel="2">
      <c r="B111" s="238">
        <f t="shared" si="3"/>
        <v>3</v>
      </c>
      <c r="C111" s="73" t="str">
        <v>SpareOfferC8</v>
      </c>
      <c r="D111" s="73" t="str">
        <v>Unlimited</v>
      </c>
      <c r="G111" s="268" cm="1">
        <f t="array" ref="G111">INDEX(WS.data,1,G$28,$B111)</f>
        <v>0</v>
      </c>
      <c r="H111" s="268" cm="1">
        <f t="array" ref="H111">INDEX(WS.data,1,H$28,$B111)</f>
        <v>0</v>
      </c>
      <c r="I111" s="268" cm="1">
        <f t="array" ref="I111">INDEX(WS.data,1,I$28,$B111)</f>
        <v>0</v>
      </c>
      <c r="J111" s="268" cm="1">
        <f t="array" ref="J111">INDEX(WS.data,1,J$28,$B111)</f>
        <v>0</v>
      </c>
      <c r="K111" s="268" cm="1">
        <f t="array" ref="K111">INDEX(WS.data,1,K$28,$B111)</f>
        <v>0</v>
      </c>
      <c r="L111" s="268" cm="1">
        <f t="array" ref="L111">INDEX(WS.data,1,L$28,$B111)</f>
        <v>0</v>
      </c>
      <c r="M111" s="268" cm="1">
        <f t="array" ref="M111">INDEX(WS.data,1,M$28,$B111)</f>
        <v>0</v>
      </c>
      <c r="N111" s="268" cm="1">
        <f t="array" ref="N111">INDEX(WS.data,1,N$28,$B111)</f>
        <v>0</v>
      </c>
      <c r="O111" s="268" cm="1">
        <f t="array" ref="O111">INDEX(WS.data,1,O$28,$B111)</f>
        <v>0</v>
      </c>
    </row>
    <row r="112" spans="2:15" hidden="1" outlineLevel="2">
      <c r="B112" s="238">
        <f t="shared" si="3"/>
        <v>3</v>
      </c>
      <c r="C112" s="73" t="str">
        <v>SpareOfferC9</v>
      </c>
      <c r="D112" s="73" t="str">
        <v>Unlimited</v>
      </c>
      <c r="G112" s="268" cm="1">
        <f t="array" ref="G112">INDEX(WS.data,1,G$28,$B112)</f>
        <v>0</v>
      </c>
      <c r="H112" s="268" cm="1">
        <f t="array" ref="H112">INDEX(WS.data,1,H$28,$B112)</f>
        <v>0</v>
      </c>
      <c r="I112" s="268" cm="1">
        <f t="array" ref="I112">INDEX(WS.data,1,I$28,$B112)</f>
        <v>0</v>
      </c>
      <c r="J112" s="268" cm="1">
        <f t="array" ref="J112">INDEX(WS.data,1,J$28,$B112)</f>
        <v>0</v>
      </c>
      <c r="K112" s="268" cm="1">
        <f t="array" ref="K112">INDEX(WS.data,1,K$28,$B112)</f>
        <v>0</v>
      </c>
      <c r="L112" s="268" cm="1">
        <f t="array" ref="L112">INDEX(WS.data,1,L$28,$B112)</f>
        <v>0</v>
      </c>
      <c r="M112" s="268" cm="1">
        <f t="array" ref="M112">INDEX(WS.data,1,M$28,$B112)</f>
        <v>0</v>
      </c>
      <c r="N112" s="268" cm="1">
        <f t="array" ref="N112">INDEX(WS.data,1,N$28,$B112)</f>
        <v>0</v>
      </c>
      <c r="O112" s="268" cm="1">
        <f t="array" ref="O112">INDEX(WS.data,1,O$28,$B112)</f>
        <v>0</v>
      </c>
    </row>
    <row r="113" spans="2:15" hidden="1" outlineLevel="2">
      <c r="B113" s="238">
        <f t="shared" si="3"/>
        <v>3</v>
      </c>
      <c r="C113" s="73" t="str">
        <v>SpareOfferC10</v>
      </c>
      <c r="D113" s="73" t="str">
        <v>Unlimited</v>
      </c>
      <c r="G113" s="268" cm="1">
        <f t="array" ref="G113">INDEX(WS.data,1,G$28,$B113)</f>
        <v>0</v>
      </c>
      <c r="H113" s="268" cm="1">
        <f t="array" ref="H113">INDEX(WS.data,1,H$28,$B113)</f>
        <v>0</v>
      </c>
      <c r="I113" s="268" cm="1">
        <f t="array" ref="I113">INDEX(WS.data,1,I$28,$B113)</f>
        <v>0</v>
      </c>
      <c r="J113" s="268" cm="1">
        <f t="array" ref="J113">INDEX(WS.data,1,J$28,$B113)</f>
        <v>0</v>
      </c>
      <c r="K113" s="268" cm="1">
        <f t="array" ref="K113">INDEX(WS.data,1,K$28,$B113)</f>
        <v>0</v>
      </c>
      <c r="L113" s="268" cm="1">
        <f t="array" ref="L113">INDEX(WS.data,1,L$28,$B113)</f>
        <v>0</v>
      </c>
      <c r="M113" s="268" cm="1">
        <f t="array" ref="M113">INDEX(WS.data,1,M$28,$B113)</f>
        <v>0</v>
      </c>
      <c r="N113" s="268" cm="1">
        <f t="array" ref="N113">INDEX(WS.data,1,N$28,$B113)</f>
        <v>0</v>
      </c>
      <c r="O113" s="268" cm="1">
        <f t="array" ref="O113">INDEX(WS.data,1,O$28,$B113)</f>
        <v>0</v>
      </c>
    </row>
    <row r="114" spans="2:15" hidden="1" outlineLevel="2">
      <c r="B114" s="238">
        <f t="shared" si="3"/>
        <v>3</v>
      </c>
      <c r="C114" s="73" t="str">
        <v>SpareOfferC11</v>
      </c>
      <c r="D114" s="73" t="str">
        <v>Unlimited</v>
      </c>
      <c r="G114" s="268" cm="1">
        <f t="array" ref="G114">INDEX(WS.data,1,G$28,$B114)</f>
        <v>0</v>
      </c>
      <c r="H114" s="268" cm="1">
        <f t="array" ref="H114">INDEX(WS.data,1,H$28,$B114)</f>
        <v>0</v>
      </c>
      <c r="I114" s="268" cm="1">
        <f t="array" ref="I114">INDEX(WS.data,1,I$28,$B114)</f>
        <v>0</v>
      </c>
      <c r="J114" s="268" cm="1">
        <f t="array" ref="J114">INDEX(WS.data,1,J$28,$B114)</f>
        <v>0</v>
      </c>
      <c r="K114" s="268" cm="1">
        <f t="array" ref="K114">INDEX(WS.data,1,K$28,$B114)</f>
        <v>0</v>
      </c>
      <c r="L114" s="268" cm="1">
        <f t="array" ref="L114">INDEX(WS.data,1,L$28,$B114)</f>
        <v>0</v>
      </c>
      <c r="M114" s="268" cm="1">
        <f t="array" ref="M114">INDEX(WS.data,1,M$28,$B114)</f>
        <v>0</v>
      </c>
      <c r="N114" s="268" cm="1">
        <f t="array" ref="N114">INDEX(WS.data,1,N$28,$B114)</f>
        <v>0</v>
      </c>
      <c r="O114" s="268" cm="1">
        <f t="array" ref="O114">INDEX(WS.data,1,O$28,$B114)</f>
        <v>0</v>
      </c>
    </row>
    <row r="115" spans="2:15" hidden="1" outlineLevel="2">
      <c r="B115" s="238">
        <f t="shared" si="3"/>
        <v>3</v>
      </c>
      <c r="C115" s="73" t="str">
        <v>SpareOfferC12</v>
      </c>
      <c r="D115" s="73" t="str">
        <v>Unlimited</v>
      </c>
      <c r="G115" s="268" cm="1">
        <f t="array" ref="G115">INDEX(WS.data,1,G$28,$B115)</f>
        <v>0</v>
      </c>
      <c r="H115" s="268" cm="1">
        <f t="array" ref="H115">INDEX(WS.data,1,H$28,$B115)</f>
        <v>0</v>
      </c>
      <c r="I115" s="268" cm="1">
        <f t="array" ref="I115">INDEX(WS.data,1,I$28,$B115)</f>
        <v>0</v>
      </c>
      <c r="J115" s="268" cm="1">
        <f t="array" ref="J115">INDEX(WS.data,1,J$28,$B115)</f>
        <v>0</v>
      </c>
      <c r="K115" s="268" cm="1">
        <f t="array" ref="K115">INDEX(WS.data,1,K$28,$B115)</f>
        <v>0</v>
      </c>
      <c r="L115" s="268" cm="1">
        <f t="array" ref="L115">INDEX(WS.data,1,L$28,$B115)</f>
        <v>0</v>
      </c>
      <c r="M115" s="268" cm="1">
        <f t="array" ref="M115">INDEX(WS.data,1,M$28,$B115)</f>
        <v>0</v>
      </c>
      <c r="N115" s="268" cm="1">
        <f t="array" ref="N115">INDEX(WS.data,1,N$28,$B115)</f>
        <v>0</v>
      </c>
      <c r="O115" s="268" cm="1">
        <f t="array" ref="O115">INDEX(WS.data,1,O$28,$B115)</f>
        <v>0</v>
      </c>
    </row>
    <row r="116" spans="2:15" hidden="1" outlineLevel="2">
      <c r="B116" s="238">
        <f t="shared" si="3"/>
        <v>3</v>
      </c>
      <c r="C116" s="73" t="str">
        <v>SpareOfferC13</v>
      </c>
      <c r="D116" s="73" t="str">
        <v>Unlimited</v>
      </c>
      <c r="G116" s="268" cm="1">
        <f t="array" ref="G116">INDEX(WS.data,1,G$28,$B116)</f>
        <v>0</v>
      </c>
      <c r="H116" s="268" cm="1">
        <f t="array" ref="H116">INDEX(WS.data,1,H$28,$B116)</f>
        <v>0</v>
      </c>
      <c r="I116" s="268" cm="1">
        <f t="array" ref="I116">INDEX(WS.data,1,I$28,$B116)</f>
        <v>0</v>
      </c>
      <c r="J116" s="268" cm="1">
        <f t="array" ref="J116">INDEX(WS.data,1,J$28,$B116)</f>
        <v>0</v>
      </c>
      <c r="K116" s="268" cm="1">
        <f t="array" ref="K116">INDEX(WS.data,1,K$28,$B116)</f>
        <v>0</v>
      </c>
      <c r="L116" s="268" cm="1">
        <f t="array" ref="L116">INDEX(WS.data,1,L$28,$B116)</f>
        <v>0</v>
      </c>
      <c r="M116" s="268" cm="1">
        <f t="array" ref="M116">INDEX(WS.data,1,M$28,$B116)</f>
        <v>0</v>
      </c>
      <c r="N116" s="268" cm="1">
        <f t="array" ref="N116">INDEX(WS.data,1,N$28,$B116)</f>
        <v>0</v>
      </c>
      <c r="O116" s="268" cm="1">
        <f t="array" ref="O116">INDEX(WS.data,1,O$28,$B116)</f>
        <v>0</v>
      </c>
    </row>
    <row r="117" spans="2:15" hidden="1" outlineLevel="2">
      <c r="B117" s="238">
        <f t="shared" si="3"/>
        <v>3</v>
      </c>
      <c r="C117" s="73" t="str">
        <v>SpareOfferC14</v>
      </c>
      <c r="D117" s="73" t="str">
        <v>Unlimited</v>
      </c>
      <c r="G117" s="268" cm="1">
        <f t="array" ref="G117">INDEX(WS.data,1,G$28,$B117)</f>
        <v>0</v>
      </c>
      <c r="H117" s="268" cm="1">
        <f t="array" ref="H117">INDEX(WS.data,1,H$28,$B117)</f>
        <v>0</v>
      </c>
      <c r="I117" s="268" cm="1">
        <f t="array" ref="I117">INDEX(WS.data,1,I$28,$B117)</f>
        <v>0</v>
      </c>
      <c r="J117" s="268" cm="1">
        <f t="array" ref="J117">INDEX(WS.data,1,J$28,$B117)</f>
        <v>0</v>
      </c>
      <c r="K117" s="268" cm="1">
        <f t="array" ref="K117">INDEX(WS.data,1,K$28,$B117)</f>
        <v>0</v>
      </c>
      <c r="L117" s="268" cm="1">
        <f t="array" ref="L117">INDEX(WS.data,1,L$28,$B117)</f>
        <v>0</v>
      </c>
      <c r="M117" s="268" cm="1">
        <f t="array" ref="M117">INDEX(WS.data,1,M$28,$B117)</f>
        <v>0</v>
      </c>
      <c r="N117" s="268" cm="1">
        <f t="array" ref="N117">INDEX(WS.data,1,N$28,$B117)</f>
        <v>0</v>
      </c>
      <c r="O117" s="268" cm="1">
        <f t="array" ref="O117">INDEX(WS.data,1,O$28,$B117)</f>
        <v>0</v>
      </c>
    </row>
    <row r="118" spans="2:15" hidden="1" outlineLevel="2">
      <c r="B118" s="238">
        <f t="shared" si="3"/>
        <v>3</v>
      </c>
      <c r="C118" s="73" t="str">
        <v>SpareOfferC15</v>
      </c>
      <c r="D118" s="73" t="str">
        <v>Unlimited</v>
      </c>
      <c r="G118" s="268" cm="1">
        <f t="array" ref="G118">INDEX(WS.data,1,G$28,$B118)</f>
        <v>0</v>
      </c>
      <c r="H118" s="268" cm="1">
        <f t="array" ref="H118">INDEX(WS.data,1,H$28,$B118)</f>
        <v>0</v>
      </c>
      <c r="I118" s="268" cm="1">
        <f t="array" ref="I118">INDEX(WS.data,1,I$28,$B118)</f>
        <v>0</v>
      </c>
      <c r="J118" s="268" cm="1">
        <f t="array" ref="J118">INDEX(WS.data,1,J$28,$B118)</f>
        <v>0</v>
      </c>
      <c r="K118" s="268" cm="1">
        <f t="array" ref="K118">INDEX(WS.data,1,K$28,$B118)</f>
        <v>0</v>
      </c>
      <c r="L118" s="268" cm="1">
        <f t="array" ref="L118">INDEX(WS.data,1,L$28,$B118)</f>
        <v>0</v>
      </c>
      <c r="M118" s="268" cm="1">
        <f t="array" ref="M118">INDEX(WS.data,1,M$28,$B118)</f>
        <v>0</v>
      </c>
      <c r="N118" s="268" cm="1">
        <f t="array" ref="N118">INDEX(WS.data,1,N$28,$B118)</f>
        <v>0</v>
      </c>
      <c r="O118" s="268" cm="1">
        <f t="array" ref="O118">INDEX(WS.data,1,O$28,$B118)</f>
        <v>0</v>
      </c>
    </row>
    <row r="119" spans="2:15" hidden="1" outlineLevel="2">
      <c r="B119" s="238">
        <f t="shared" si="3"/>
        <v>3</v>
      </c>
      <c r="C119" s="73" t="str">
        <v>SpareOfferC16</v>
      </c>
      <c r="D119" s="73" t="str">
        <v>Unlimited</v>
      </c>
      <c r="G119" s="268" cm="1">
        <f t="array" ref="G119">INDEX(WS.data,1,G$28,$B119)</f>
        <v>0</v>
      </c>
      <c r="H119" s="268" cm="1">
        <f t="array" ref="H119">INDEX(WS.data,1,H$28,$B119)</f>
        <v>0</v>
      </c>
      <c r="I119" s="268" cm="1">
        <f t="array" ref="I119">INDEX(WS.data,1,I$28,$B119)</f>
        <v>0</v>
      </c>
      <c r="J119" s="268" cm="1">
        <f t="array" ref="J119">INDEX(WS.data,1,J$28,$B119)</f>
        <v>0</v>
      </c>
      <c r="K119" s="268" cm="1">
        <f t="array" ref="K119">INDEX(WS.data,1,K$28,$B119)</f>
        <v>0</v>
      </c>
      <c r="L119" s="268" cm="1">
        <f t="array" ref="L119">INDEX(WS.data,1,L$28,$B119)</f>
        <v>0</v>
      </c>
      <c r="M119" s="268" cm="1">
        <f t="array" ref="M119">INDEX(WS.data,1,M$28,$B119)</f>
        <v>0</v>
      </c>
      <c r="N119" s="268" cm="1">
        <f t="array" ref="N119">INDEX(WS.data,1,N$28,$B119)</f>
        <v>0</v>
      </c>
      <c r="O119" s="268" cm="1">
        <f t="array" ref="O119">INDEX(WS.data,1,O$28,$B119)</f>
        <v>0</v>
      </c>
    </row>
    <row r="120" spans="2:15" hidden="1" outlineLevel="2">
      <c r="B120" s="238">
        <f t="shared" si="3"/>
        <v>3</v>
      </c>
      <c r="C120" s="73" t="str">
        <v>SpareOfferC17</v>
      </c>
      <c r="D120" s="73" t="str">
        <v>Unlimited</v>
      </c>
      <c r="G120" s="268" cm="1">
        <f t="array" ref="G120">INDEX(WS.data,1,G$28,$B120)</f>
        <v>0</v>
      </c>
      <c r="H120" s="268" cm="1">
        <f t="array" ref="H120">INDEX(WS.data,1,H$28,$B120)</f>
        <v>0</v>
      </c>
      <c r="I120" s="268" cm="1">
        <f t="array" ref="I120">INDEX(WS.data,1,I$28,$B120)</f>
        <v>0</v>
      </c>
      <c r="J120" s="268" cm="1">
        <f t="array" ref="J120">INDEX(WS.data,1,J$28,$B120)</f>
        <v>0</v>
      </c>
      <c r="K120" s="268" cm="1">
        <f t="array" ref="K120">INDEX(WS.data,1,K$28,$B120)</f>
        <v>0</v>
      </c>
      <c r="L120" s="268" cm="1">
        <f t="array" ref="L120">INDEX(WS.data,1,L$28,$B120)</f>
        <v>0</v>
      </c>
      <c r="M120" s="268" cm="1">
        <f t="array" ref="M120">INDEX(WS.data,1,M$28,$B120)</f>
        <v>0</v>
      </c>
      <c r="N120" s="268" cm="1">
        <f t="array" ref="N120">INDEX(WS.data,1,N$28,$B120)</f>
        <v>0</v>
      </c>
      <c r="O120" s="268" cm="1">
        <f t="array" ref="O120">INDEX(WS.data,1,O$28,$B120)</f>
        <v>0</v>
      </c>
    </row>
    <row r="121" spans="2:15" hidden="1" outlineLevel="2">
      <c r="B121" s="238">
        <f t="shared" si="3"/>
        <v>3</v>
      </c>
      <c r="C121" s="73" t="str">
        <v>SpareOfferC18</v>
      </c>
      <c r="D121" s="73" t="str">
        <v>Unlimited</v>
      </c>
      <c r="G121" s="268" cm="1">
        <f t="array" ref="G121">INDEX(WS.data,1,G$28,$B121)</f>
        <v>0</v>
      </c>
      <c r="H121" s="268" cm="1">
        <f t="array" ref="H121">INDEX(WS.data,1,H$28,$B121)</f>
        <v>0</v>
      </c>
      <c r="I121" s="268" cm="1">
        <f t="array" ref="I121">INDEX(WS.data,1,I$28,$B121)</f>
        <v>0</v>
      </c>
      <c r="J121" s="268" cm="1">
        <f t="array" ref="J121">INDEX(WS.data,1,J$28,$B121)</f>
        <v>0</v>
      </c>
      <c r="K121" s="268" cm="1">
        <f t="array" ref="K121">INDEX(WS.data,1,K$28,$B121)</f>
        <v>0</v>
      </c>
      <c r="L121" s="268" cm="1">
        <f t="array" ref="L121">INDEX(WS.data,1,L$28,$B121)</f>
        <v>0</v>
      </c>
      <c r="M121" s="268" cm="1">
        <f t="array" ref="M121">INDEX(WS.data,1,M$28,$B121)</f>
        <v>0</v>
      </c>
      <c r="N121" s="268" cm="1">
        <f t="array" ref="N121">INDEX(WS.data,1,N$28,$B121)</f>
        <v>0</v>
      </c>
      <c r="O121" s="268" cm="1">
        <f t="array" ref="O121">INDEX(WS.data,1,O$28,$B121)</f>
        <v>0</v>
      </c>
    </row>
    <row r="122" spans="2:15" hidden="1" outlineLevel="2">
      <c r="B122" s="238">
        <f t="shared" si="3"/>
        <v>3</v>
      </c>
      <c r="C122" s="73" t="str">
        <v>SpareOfferC19</v>
      </c>
      <c r="D122" s="73" t="str">
        <v>Unlimited</v>
      </c>
      <c r="G122" s="268" cm="1">
        <f t="array" ref="G122">INDEX(WS.data,1,G$28,$B122)</f>
        <v>0</v>
      </c>
      <c r="H122" s="268" cm="1">
        <f t="array" ref="H122">INDEX(WS.data,1,H$28,$B122)</f>
        <v>0</v>
      </c>
      <c r="I122" s="268" cm="1">
        <f t="array" ref="I122">INDEX(WS.data,1,I$28,$B122)</f>
        <v>0</v>
      </c>
      <c r="J122" s="268" cm="1">
        <f t="array" ref="J122">INDEX(WS.data,1,J$28,$B122)</f>
        <v>0</v>
      </c>
      <c r="K122" s="268" cm="1">
        <f t="array" ref="K122">INDEX(WS.data,1,K$28,$B122)</f>
        <v>0</v>
      </c>
      <c r="L122" s="268" cm="1">
        <f t="array" ref="L122">INDEX(WS.data,1,L$28,$B122)</f>
        <v>0</v>
      </c>
      <c r="M122" s="268" cm="1">
        <f t="array" ref="M122">INDEX(WS.data,1,M$28,$B122)</f>
        <v>0</v>
      </c>
      <c r="N122" s="268" cm="1">
        <f t="array" ref="N122">INDEX(WS.data,1,N$28,$B122)</f>
        <v>0</v>
      </c>
      <c r="O122" s="268" cm="1">
        <f t="array" ref="O122">INDEX(WS.data,1,O$28,$B122)</f>
        <v>0</v>
      </c>
    </row>
    <row r="123" spans="2:15" hidden="1" outlineLevel="2">
      <c r="B123" s="238">
        <f t="shared" si="3"/>
        <v>3</v>
      </c>
      <c r="C123" s="73" t="str">
        <v>SpareOfferC20</v>
      </c>
      <c r="D123" s="73" t="str">
        <v>Unlimited</v>
      </c>
      <c r="G123" s="268" cm="1">
        <f t="array" ref="G123">INDEX(WS.data,1,G$28,$B123)</f>
        <v>0</v>
      </c>
      <c r="H123" s="268" cm="1">
        <f t="array" ref="H123">INDEX(WS.data,1,H$28,$B123)</f>
        <v>0</v>
      </c>
      <c r="I123" s="268" cm="1">
        <f t="array" ref="I123">INDEX(WS.data,1,I$28,$B123)</f>
        <v>0</v>
      </c>
      <c r="J123" s="268" cm="1">
        <f t="array" ref="J123">INDEX(WS.data,1,J$28,$B123)</f>
        <v>0</v>
      </c>
      <c r="K123" s="268" cm="1">
        <f t="array" ref="K123">INDEX(WS.data,1,K$28,$B123)</f>
        <v>0</v>
      </c>
      <c r="L123" s="268" cm="1">
        <f t="array" ref="L123">INDEX(WS.data,1,L$28,$B123)</f>
        <v>0</v>
      </c>
      <c r="M123" s="268" cm="1">
        <f t="array" ref="M123">INDEX(WS.data,1,M$28,$B123)</f>
        <v>0</v>
      </c>
      <c r="N123" s="268" cm="1">
        <f t="array" ref="N123">INDEX(WS.data,1,N$28,$B123)</f>
        <v>0</v>
      </c>
      <c r="O123" s="268" cm="1">
        <f t="array" ref="O123">INDEX(WS.data,1,O$28,$B123)</f>
        <v>0</v>
      </c>
    </row>
    <row r="124" spans="2:15" hidden="1" outlineLevel="2">
      <c r="B124" s="238">
        <f t="shared" si="3"/>
        <v>3</v>
      </c>
      <c r="C124" s="73" t="str">
        <v>SpareOfferC21</v>
      </c>
      <c r="D124" s="73" t="str">
        <v>Unlimited</v>
      </c>
      <c r="G124" s="268" cm="1">
        <f t="array" ref="G124">INDEX(WS.data,1,G$28,$B124)</f>
        <v>0</v>
      </c>
      <c r="H124" s="268" cm="1">
        <f t="array" ref="H124">INDEX(WS.data,1,H$28,$B124)</f>
        <v>0</v>
      </c>
      <c r="I124" s="268" cm="1">
        <f t="array" ref="I124">INDEX(WS.data,1,I$28,$B124)</f>
        <v>0</v>
      </c>
      <c r="J124" s="268" cm="1">
        <f t="array" ref="J124">INDEX(WS.data,1,J$28,$B124)</f>
        <v>0</v>
      </c>
      <c r="K124" s="268" cm="1">
        <f t="array" ref="K124">INDEX(WS.data,1,K$28,$B124)</f>
        <v>0</v>
      </c>
      <c r="L124" s="268" cm="1">
        <f t="array" ref="L124">INDEX(WS.data,1,L$28,$B124)</f>
        <v>0</v>
      </c>
      <c r="M124" s="268" cm="1">
        <f t="array" ref="M124">INDEX(WS.data,1,M$28,$B124)</f>
        <v>0</v>
      </c>
      <c r="N124" s="268" cm="1">
        <f t="array" ref="N124">INDEX(WS.data,1,N$28,$B124)</f>
        <v>0</v>
      </c>
      <c r="O124" s="268" cm="1">
        <f t="array" ref="O124">INDEX(WS.data,1,O$28,$B124)</f>
        <v>0</v>
      </c>
    </row>
    <row r="125" spans="2:15" hidden="1" outlineLevel="2">
      <c r="B125" s="238">
        <f t="shared" si="3"/>
        <v>3</v>
      </c>
      <c r="C125" s="73" t="str">
        <v>SpareOfferC22</v>
      </c>
      <c r="D125" s="73" t="str">
        <v>Unlimited</v>
      </c>
      <c r="G125" s="268" cm="1">
        <f t="array" ref="G125">INDEX(WS.data,1,G$28,$B125)</f>
        <v>0</v>
      </c>
      <c r="H125" s="268" cm="1">
        <f t="array" ref="H125">INDEX(WS.data,1,H$28,$B125)</f>
        <v>0</v>
      </c>
      <c r="I125" s="268" cm="1">
        <f t="array" ref="I125">INDEX(WS.data,1,I$28,$B125)</f>
        <v>0</v>
      </c>
      <c r="J125" s="268" cm="1">
        <f t="array" ref="J125">INDEX(WS.data,1,J$28,$B125)</f>
        <v>0</v>
      </c>
      <c r="K125" s="268" cm="1">
        <f t="array" ref="K125">INDEX(WS.data,1,K$28,$B125)</f>
        <v>0</v>
      </c>
      <c r="L125" s="268" cm="1">
        <f t="array" ref="L125">INDEX(WS.data,1,L$28,$B125)</f>
        <v>0</v>
      </c>
      <c r="M125" s="268" cm="1">
        <f t="array" ref="M125">INDEX(WS.data,1,M$28,$B125)</f>
        <v>0</v>
      </c>
      <c r="N125" s="268" cm="1">
        <f t="array" ref="N125">INDEX(WS.data,1,N$28,$B125)</f>
        <v>0</v>
      </c>
      <c r="O125" s="268" cm="1">
        <f t="array" ref="O125">INDEX(WS.data,1,O$28,$B125)</f>
        <v>0</v>
      </c>
    </row>
    <row r="126" spans="2:15" hidden="1" outlineLevel="2">
      <c r="B126" s="238">
        <f t="shared" si="3"/>
        <v>3</v>
      </c>
      <c r="C126" s="73" t="str">
        <v>SpareOfferC23</v>
      </c>
      <c r="D126" s="73" t="str">
        <v>Unlimited</v>
      </c>
      <c r="G126" s="268" cm="1">
        <f t="array" ref="G126">INDEX(WS.data,1,G$28,$B126)</f>
        <v>0</v>
      </c>
      <c r="H126" s="268" cm="1">
        <f t="array" ref="H126">INDEX(WS.data,1,H$28,$B126)</f>
        <v>0</v>
      </c>
      <c r="I126" s="268" cm="1">
        <f t="array" ref="I126">INDEX(WS.data,1,I$28,$B126)</f>
        <v>0</v>
      </c>
      <c r="J126" s="268" cm="1">
        <f t="array" ref="J126">INDEX(WS.data,1,J$28,$B126)</f>
        <v>0</v>
      </c>
      <c r="K126" s="268" cm="1">
        <f t="array" ref="K126">INDEX(WS.data,1,K$28,$B126)</f>
        <v>0</v>
      </c>
      <c r="L126" s="268" cm="1">
        <f t="array" ref="L126">INDEX(WS.data,1,L$28,$B126)</f>
        <v>0</v>
      </c>
      <c r="M126" s="268" cm="1">
        <f t="array" ref="M126">INDEX(WS.data,1,M$28,$B126)</f>
        <v>0</v>
      </c>
      <c r="N126" s="268" cm="1">
        <f t="array" ref="N126">INDEX(WS.data,1,N$28,$B126)</f>
        <v>0</v>
      </c>
      <c r="O126" s="268" cm="1">
        <f t="array" ref="O126">INDEX(WS.data,1,O$28,$B126)</f>
        <v>0</v>
      </c>
    </row>
    <row r="127" spans="2:15" hidden="1" outlineLevel="2">
      <c r="B127" s="238">
        <f t="shared" si="3"/>
        <v>3</v>
      </c>
      <c r="C127" s="73" t="str">
        <v>SpareOfferC24</v>
      </c>
      <c r="D127" s="73" t="str">
        <v>Unlimited</v>
      </c>
      <c r="G127" s="268" cm="1">
        <f t="array" ref="G127">INDEX(WS.data,1,G$28,$B127)</f>
        <v>0</v>
      </c>
      <c r="H127" s="268" cm="1">
        <f t="array" ref="H127">INDEX(WS.data,1,H$28,$B127)</f>
        <v>0</v>
      </c>
      <c r="I127" s="268" cm="1">
        <f t="array" ref="I127">INDEX(WS.data,1,I$28,$B127)</f>
        <v>0</v>
      </c>
      <c r="J127" s="268" cm="1">
        <f t="array" ref="J127">INDEX(WS.data,1,J$28,$B127)</f>
        <v>0</v>
      </c>
      <c r="K127" s="268" cm="1">
        <f t="array" ref="K127">INDEX(WS.data,1,K$28,$B127)</f>
        <v>0</v>
      </c>
      <c r="L127" s="268" cm="1">
        <f t="array" ref="L127">INDEX(WS.data,1,L$28,$B127)</f>
        <v>0</v>
      </c>
      <c r="M127" s="268" cm="1">
        <f t="array" ref="M127">INDEX(WS.data,1,M$28,$B127)</f>
        <v>0</v>
      </c>
      <c r="N127" s="268" cm="1">
        <f t="array" ref="N127">INDEX(WS.data,1,N$28,$B127)</f>
        <v>0</v>
      </c>
      <c r="O127" s="268" cm="1">
        <f t="array" ref="O127">INDEX(WS.data,1,O$28,$B127)</f>
        <v>0</v>
      </c>
    </row>
    <row r="128" spans="2:15" hidden="1" outlineLevel="2">
      <c r="B128" s="238">
        <f t="shared" si="3"/>
        <v>3</v>
      </c>
      <c r="C128" s="73" t="str">
        <v>SpareOfferC25</v>
      </c>
      <c r="D128" s="73" t="str">
        <v>Unlimited</v>
      </c>
      <c r="G128" s="268" cm="1">
        <f t="array" ref="G128">INDEX(WS.data,1,G$28,$B128)</f>
        <v>0</v>
      </c>
      <c r="H128" s="268" cm="1">
        <f t="array" ref="H128">INDEX(WS.data,1,H$28,$B128)</f>
        <v>0</v>
      </c>
      <c r="I128" s="268" cm="1">
        <f t="array" ref="I128">INDEX(WS.data,1,I$28,$B128)</f>
        <v>0</v>
      </c>
      <c r="J128" s="268" cm="1">
        <f t="array" ref="J128">INDEX(WS.data,1,J$28,$B128)</f>
        <v>0</v>
      </c>
      <c r="K128" s="268" cm="1">
        <f t="array" ref="K128">INDEX(WS.data,1,K$28,$B128)</f>
        <v>0</v>
      </c>
      <c r="L128" s="268" cm="1">
        <f t="array" ref="L128">INDEX(WS.data,1,L$28,$B128)</f>
        <v>0</v>
      </c>
      <c r="M128" s="268" cm="1">
        <f t="array" ref="M128">INDEX(WS.data,1,M$28,$B128)</f>
        <v>0</v>
      </c>
      <c r="N128" s="268" cm="1">
        <f t="array" ref="N128">INDEX(WS.data,1,N$28,$B128)</f>
        <v>0</v>
      </c>
      <c r="O128" s="268" cm="1">
        <f t="array" ref="O128">INDEX(WS.data,1,O$28,$B128)</f>
        <v>0</v>
      </c>
    </row>
    <row r="129" spans="2:15" hidden="1" outlineLevel="2">
      <c r="B129" s="238">
        <f t="shared" si="3"/>
        <v>3</v>
      </c>
      <c r="C129" s="73" t="str">
        <v>SpareOfferC26</v>
      </c>
      <c r="D129" s="73" t="str">
        <v>Unlimited</v>
      </c>
      <c r="G129" s="268" cm="1">
        <f t="array" ref="G129">INDEX(WS.data,1,G$28,$B129)</f>
        <v>0</v>
      </c>
      <c r="H129" s="268" cm="1">
        <f t="array" ref="H129">INDEX(WS.data,1,H$28,$B129)</f>
        <v>0</v>
      </c>
      <c r="I129" s="268" cm="1">
        <f t="array" ref="I129">INDEX(WS.data,1,I$28,$B129)</f>
        <v>0</v>
      </c>
      <c r="J129" s="268" cm="1">
        <f t="array" ref="J129">INDEX(WS.data,1,J$28,$B129)</f>
        <v>0</v>
      </c>
      <c r="K129" s="268" cm="1">
        <f t="array" ref="K129">INDEX(WS.data,1,K$28,$B129)</f>
        <v>0</v>
      </c>
      <c r="L129" s="268" cm="1">
        <f t="array" ref="L129">INDEX(WS.data,1,L$28,$B129)</f>
        <v>0</v>
      </c>
      <c r="M129" s="268" cm="1">
        <f t="array" ref="M129">INDEX(WS.data,1,M$28,$B129)</f>
        <v>0</v>
      </c>
      <c r="N129" s="268" cm="1">
        <f t="array" ref="N129">INDEX(WS.data,1,N$28,$B129)</f>
        <v>0</v>
      </c>
      <c r="O129" s="268" cm="1">
        <f t="array" ref="O129">INDEX(WS.data,1,O$28,$B129)</f>
        <v>0</v>
      </c>
    </row>
    <row r="130" spans="2:15" hidden="1" outlineLevel="2">
      <c r="B130" s="238">
        <f t="shared" si="3"/>
        <v>3</v>
      </c>
      <c r="C130" s="73" t="str">
        <v>SpareOfferC27</v>
      </c>
      <c r="D130" s="73" t="str">
        <v>Unlimited</v>
      </c>
      <c r="G130" s="268" cm="1">
        <f t="array" ref="G130">INDEX(WS.data,1,G$28,$B130)</f>
        <v>0</v>
      </c>
      <c r="H130" s="268" cm="1">
        <f t="array" ref="H130">INDEX(WS.data,1,H$28,$B130)</f>
        <v>0</v>
      </c>
      <c r="I130" s="268" cm="1">
        <f t="array" ref="I130">INDEX(WS.data,1,I$28,$B130)</f>
        <v>0</v>
      </c>
      <c r="J130" s="268" cm="1">
        <f t="array" ref="J130">INDEX(WS.data,1,J$28,$B130)</f>
        <v>0</v>
      </c>
      <c r="K130" s="268" cm="1">
        <f t="array" ref="K130">INDEX(WS.data,1,K$28,$B130)</f>
        <v>0</v>
      </c>
      <c r="L130" s="268" cm="1">
        <f t="array" ref="L130">INDEX(WS.data,1,L$28,$B130)</f>
        <v>0</v>
      </c>
      <c r="M130" s="268" cm="1">
        <f t="array" ref="M130">INDEX(WS.data,1,M$28,$B130)</f>
        <v>0</v>
      </c>
      <c r="N130" s="268" cm="1">
        <f t="array" ref="N130">INDEX(WS.data,1,N$28,$B130)</f>
        <v>0</v>
      </c>
      <c r="O130" s="268" cm="1">
        <f t="array" ref="O130">INDEX(WS.data,1,O$28,$B130)</f>
        <v>0</v>
      </c>
    </row>
    <row r="131" spans="2:15" hidden="1" outlineLevel="2">
      <c r="B131" s="238">
        <f t="shared" si="3"/>
        <v>3</v>
      </c>
      <c r="C131" s="73" t="str">
        <v>SpareOfferC28</v>
      </c>
      <c r="D131" s="73" t="str">
        <v>Unlimited</v>
      </c>
      <c r="G131" s="268" cm="1">
        <f t="array" ref="G131">INDEX(WS.data,1,G$28,$B131)</f>
        <v>0</v>
      </c>
      <c r="H131" s="268" cm="1">
        <f t="array" ref="H131">INDEX(WS.data,1,H$28,$B131)</f>
        <v>0</v>
      </c>
      <c r="I131" s="268" cm="1">
        <f t="array" ref="I131">INDEX(WS.data,1,I$28,$B131)</f>
        <v>0</v>
      </c>
      <c r="J131" s="268" cm="1">
        <f t="array" ref="J131">INDEX(WS.data,1,J$28,$B131)</f>
        <v>0</v>
      </c>
      <c r="K131" s="268" cm="1">
        <f t="array" ref="K131">INDEX(WS.data,1,K$28,$B131)</f>
        <v>0</v>
      </c>
      <c r="L131" s="268" cm="1">
        <f t="array" ref="L131">INDEX(WS.data,1,L$28,$B131)</f>
        <v>0</v>
      </c>
      <c r="M131" s="268" cm="1">
        <f t="array" ref="M131">INDEX(WS.data,1,M$28,$B131)</f>
        <v>0</v>
      </c>
      <c r="N131" s="268" cm="1">
        <f t="array" ref="N131">INDEX(WS.data,1,N$28,$B131)</f>
        <v>0</v>
      </c>
      <c r="O131" s="268" cm="1">
        <f t="array" ref="O131">INDEX(WS.data,1,O$28,$B131)</f>
        <v>0</v>
      </c>
    </row>
    <row r="132" spans="2:15" hidden="1" outlineLevel="2">
      <c r="B132" s="238">
        <f t="shared" si="3"/>
        <v>3</v>
      </c>
      <c r="C132" s="73" t="str">
        <v>SpareOfferC29</v>
      </c>
      <c r="D132" s="73" t="str">
        <v>Unlimited</v>
      </c>
      <c r="G132" s="268" cm="1">
        <f t="array" ref="G132">INDEX(WS.data,1,G$28,$B132)</f>
        <v>0</v>
      </c>
      <c r="H132" s="268" cm="1">
        <f t="array" ref="H132">INDEX(WS.data,1,H$28,$B132)</f>
        <v>0</v>
      </c>
      <c r="I132" s="268" cm="1">
        <f t="array" ref="I132">INDEX(WS.data,1,I$28,$B132)</f>
        <v>0</v>
      </c>
      <c r="J132" s="268" cm="1">
        <f t="array" ref="J132">INDEX(WS.data,1,J$28,$B132)</f>
        <v>0</v>
      </c>
      <c r="K132" s="268" cm="1">
        <f t="array" ref="K132">INDEX(WS.data,1,K$28,$B132)</f>
        <v>0</v>
      </c>
      <c r="L132" s="268" cm="1">
        <f t="array" ref="L132">INDEX(WS.data,1,L$28,$B132)</f>
        <v>0</v>
      </c>
      <c r="M132" s="268" cm="1">
        <f t="array" ref="M132">INDEX(WS.data,1,M$28,$B132)</f>
        <v>0</v>
      </c>
      <c r="N132" s="268" cm="1">
        <f t="array" ref="N132">INDEX(WS.data,1,N$28,$B132)</f>
        <v>0</v>
      </c>
      <c r="O132" s="268" cm="1">
        <f t="array" ref="O132">INDEX(WS.data,1,O$28,$B132)</f>
        <v>0</v>
      </c>
    </row>
    <row r="133" spans="2:15" hidden="1" outlineLevel="2">
      <c r="B133" s="238">
        <f t="shared" si="3"/>
        <v>3</v>
      </c>
      <c r="C133" s="73" t="str">
        <v>SpareOfferC30</v>
      </c>
      <c r="D133" s="73" t="str">
        <v>Unlimited</v>
      </c>
      <c r="G133" s="268" cm="1">
        <f t="array" ref="G133">INDEX(WS.data,1,G$28,$B133)</f>
        <v>0</v>
      </c>
      <c r="H133" s="268" cm="1">
        <f t="array" ref="H133">INDEX(WS.data,1,H$28,$B133)</f>
        <v>0</v>
      </c>
      <c r="I133" s="268" cm="1">
        <f t="array" ref="I133">INDEX(WS.data,1,I$28,$B133)</f>
        <v>0</v>
      </c>
      <c r="J133" s="268" cm="1">
        <f t="array" ref="J133">INDEX(WS.data,1,J$28,$B133)</f>
        <v>0</v>
      </c>
      <c r="K133" s="268" cm="1">
        <f t="array" ref="K133">INDEX(WS.data,1,K$28,$B133)</f>
        <v>0</v>
      </c>
      <c r="L133" s="268" cm="1">
        <f t="array" ref="L133">INDEX(WS.data,1,L$28,$B133)</f>
        <v>0</v>
      </c>
      <c r="M133" s="268" cm="1">
        <f t="array" ref="M133">INDEX(WS.data,1,M$28,$B133)</f>
        <v>0</v>
      </c>
      <c r="N133" s="268" cm="1">
        <f t="array" ref="N133">INDEX(WS.data,1,N$28,$B133)</f>
        <v>0</v>
      </c>
      <c r="O133" s="268" cm="1">
        <f t="array" ref="O133">INDEX(WS.data,1,O$28,$B133)</f>
        <v>0</v>
      </c>
    </row>
    <row r="134" spans="2:15" hidden="1" outlineLevel="2">
      <c r="B134" s="238">
        <f t="shared" si="3"/>
        <v>3</v>
      </c>
      <c r="C134" s="73" t="str">
        <v>SpareOfferC31</v>
      </c>
      <c r="D134" s="73" t="str">
        <v>Unlimited</v>
      </c>
      <c r="G134" s="268" cm="1">
        <f t="array" ref="G134">INDEX(WS.data,1,G$28,$B134)</f>
        <v>0</v>
      </c>
      <c r="H134" s="268" cm="1">
        <f t="array" ref="H134">INDEX(WS.data,1,H$28,$B134)</f>
        <v>0</v>
      </c>
      <c r="I134" s="268" cm="1">
        <f t="array" ref="I134">INDEX(WS.data,1,I$28,$B134)</f>
        <v>0</v>
      </c>
      <c r="J134" s="268" cm="1">
        <f t="array" ref="J134">INDEX(WS.data,1,J$28,$B134)</f>
        <v>0</v>
      </c>
      <c r="K134" s="268" cm="1">
        <f t="array" ref="K134">INDEX(WS.data,1,K$28,$B134)</f>
        <v>0</v>
      </c>
      <c r="L134" s="268" cm="1">
        <f t="array" ref="L134">INDEX(WS.data,1,L$28,$B134)</f>
        <v>0</v>
      </c>
      <c r="M134" s="268" cm="1">
        <f t="array" ref="M134">INDEX(WS.data,1,M$28,$B134)</f>
        <v>0</v>
      </c>
      <c r="N134" s="268" cm="1">
        <f t="array" ref="N134">INDEX(WS.data,1,N$28,$B134)</f>
        <v>0</v>
      </c>
      <c r="O134" s="268" cm="1">
        <f t="array" ref="O134">INDEX(WS.data,1,O$28,$B134)</f>
        <v>0</v>
      </c>
    </row>
    <row r="135" spans="2:15" hidden="1" outlineLevel="2">
      <c r="B135" s="238">
        <f t="shared" si="3"/>
        <v>3</v>
      </c>
      <c r="C135" s="73" t="str">
        <v>SpareOfferC32</v>
      </c>
      <c r="D135" s="73" t="str">
        <v>Unlimited</v>
      </c>
      <c r="G135" s="268" cm="1">
        <f t="array" ref="G135">INDEX(WS.data,1,G$28,$B135)</f>
        <v>0</v>
      </c>
      <c r="H135" s="268" cm="1">
        <f t="array" ref="H135">INDEX(WS.data,1,H$28,$B135)</f>
        <v>0</v>
      </c>
      <c r="I135" s="268" cm="1">
        <f t="array" ref="I135">INDEX(WS.data,1,I$28,$B135)</f>
        <v>0</v>
      </c>
      <c r="J135" s="268" cm="1">
        <f t="array" ref="J135">INDEX(WS.data,1,J$28,$B135)</f>
        <v>0</v>
      </c>
      <c r="K135" s="268" cm="1">
        <f t="array" ref="K135">INDEX(WS.data,1,K$28,$B135)</f>
        <v>0</v>
      </c>
      <c r="L135" s="268" cm="1">
        <f t="array" ref="L135">INDEX(WS.data,1,L$28,$B135)</f>
        <v>0</v>
      </c>
      <c r="M135" s="268" cm="1">
        <f t="array" ref="M135">INDEX(WS.data,1,M$28,$B135)</f>
        <v>0</v>
      </c>
      <c r="N135" s="268" cm="1">
        <f t="array" ref="N135">INDEX(WS.data,1,N$28,$B135)</f>
        <v>0</v>
      </c>
      <c r="O135" s="268" cm="1">
        <f t="array" ref="O135">INDEX(WS.data,1,O$28,$B135)</f>
        <v>0</v>
      </c>
    </row>
    <row r="136" spans="2:15" hidden="1" outlineLevel="2">
      <c r="B136" s="238">
        <f t="shared" si="3"/>
        <v>3</v>
      </c>
      <c r="C136" s="73" t="str">
        <v>SpareOfferC33</v>
      </c>
      <c r="D136" s="73" t="str">
        <v>Unlimited</v>
      </c>
      <c r="G136" s="268" cm="1">
        <f t="array" ref="G136">INDEX(WS.data,1,G$28,$B136)</f>
        <v>0</v>
      </c>
      <c r="H136" s="268" cm="1">
        <f t="array" ref="H136">INDEX(WS.data,1,H$28,$B136)</f>
        <v>0</v>
      </c>
      <c r="I136" s="268" cm="1">
        <f t="array" ref="I136">INDEX(WS.data,1,I$28,$B136)</f>
        <v>0</v>
      </c>
      <c r="J136" s="268" cm="1">
        <f t="array" ref="J136">INDEX(WS.data,1,J$28,$B136)</f>
        <v>0</v>
      </c>
      <c r="K136" s="268" cm="1">
        <f t="array" ref="K136">INDEX(WS.data,1,K$28,$B136)</f>
        <v>0</v>
      </c>
      <c r="L136" s="268" cm="1">
        <f t="array" ref="L136">INDEX(WS.data,1,L$28,$B136)</f>
        <v>0</v>
      </c>
      <c r="M136" s="268" cm="1">
        <f t="array" ref="M136">INDEX(WS.data,1,M$28,$B136)</f>
        <v>0</v>
      </c>
      <c r="N136" s="268" cm="1">
        <f t="array" ref="N136">INDEX(WS.data,1,N$28,$B136)</f>
        <v>0</v>
      </c>
      <c r="O136" s="268" cm="1">
        <f t="array" ref="O136">INDEX(WS.data,1,O$28,$B136)</f>
        <v>0</v>
      </c>
    </row>
    <row r="137" spans="2:15" hidden="1" outlineLevel="2">
      <c r="B137" s="238">
        <f t="shared" si="3"/>
        <v>3</v>
      </c>
      <c r="C137" s="73" t="str">
        <v>SpareOfferC34</v>
      </c>
      <c r="D137" s="73" t="str">
        <v>Unlimited</v>
      </c>
      <c r="G137" s="268" cm="1">
        <f t="array" ref="G137">INDEX(WS.data,1,G$28,$B137)</f>
        <v>0</v>
      </c>
      <c r="H137" s="268" cm="1">
        <f t="array" ref="H137">INDEX(WS.data,1,H$28,$B137)</f>
        <v>0</v>
      </c>
      <c r="I137" s="268" cm="1">
        <f t="array" ref="I137">INDEX(WS.data,1,I$28,$B137)</f>
        <v>0</v>
      </c>
      <c r="J137" s="268" cm="1">
        <f t="array" ref="J137">INDEX(WS.data,1,J$28,$B137)</f>
        <v>0</v>
      </c>
      <c r="K137" s="268" cm="1">
        <f t="array" ref="K137">INDEX(WS.data,1,K$28,$B137)</f>
        <v>0</v>
      </c>
      <c r="L137" s="268" cm="1">
        <f t="array" ref="L137">INDEX(WS.data,1,L$28,$B137)</f>
        <v>0</v>
      </c>
      <c r="M137" s="268" cm="1">
        <f t="array" ref="M137">INDEX(WS.data,1,M$28,$B137)</f>
        <v>0</v>
      </c>
      <c r="N137" s="268" cm="1">
        <f t="array" ref="N137">INDEX(WS.data,1,N$28,$B137)</f>
        <v>0</v>
      </c>
      <c r="O137" s="268" cm="1">
        <f t="array" ref="O137">INDEX(WS.data,1,O$28,$B137)</f>
        <v>0</v>
      </c>
    </row>
    <row r="138" spans="2:15" outlineLevel="1" collapsed="1">
      <c r="B138" s="238">
        <f t="shared" si="3"/>
        <v>3</v>
      </c>
      <c r="C138" s="73" t="str">
        <v>SpareOfferC35</v>
      </c>
      <c r="D138" s="73" t="str">
        <v>Unlimited</v>
      </c>
      <c r="G138" s="268" cm="1">
        <f t="array" ref="G138">INDEX(WS.data,1,G$28,$B138)</f>
        <v>0</v>
      </c>
      <c r="H138" s="268" cm="1">
        <f t="array" ref="H138">INDEX(WS.data,1,H$28,$B138)</f>
        <v>0</v>
      </c>
      <c r="I138" s="268" cm="1">
        <f t="array" ref="I138">INDEX(WS.data,1,I$28,$B138)</f>
        <v>0</v>
      </c>
      <c r="J138" s="268" cm="1">
        <f t="array" ref="J138">INDEX(WS.data,1,J$28,$B138)</f>
        <v>0</v>
      </c>
      <c r="K138" s="268" cm="1">
        <f t="array" ref="K138">INDEX(WS.data,1,K$28,$B138)</f>
        <v>0</v>
      </c>
      <c r="L138" s="268" cm="1">
        <f t="array" ref="L138">INDEX(WS.data,1,L$28,$B138)</f>
        <v>0</v>
      </c>
      <c r="M138" s="268" cm="1">
        <f t="array" ref="M138">INDEX(WS.data,1,M$28,$B138)</f>
        <v>0</v>
      </c>
      <c r="N138" s="268" cm="1">
        <f t="array" ref="N138">INDEX(WS.data,1,N$28,$B138)</f>
        <v>0</v>
      </c>
      <c r="O138" s="268" cm="1">
        <f t="array" ref="O138">INDEX(WS.data,1,O$28,$B138)</f>
        <v>0</v>
      </c>
    </row>
    <row r="139" spans="2:15" outlineLevel="1"/>
    <row r="140" spans="2:15" outlineLevel="1">
      <c r="B140" s="238">
        <f t="shared" ref="B140:B174" si="4">MATCH(D140,data.speed.options,0)</f>
        <v>3</v>
      </c>
      <c r="C140" s="73" t="str">
        <f t="array" ref="C140:C174">offers.segment.4</f>
        <v>SpareOfferD1</v>
      </c>
      <c r="D140" s="73" t="str">
        <f t="array" ref="D140:D174">data.speed.options.segment.4</f>
        <v>Unlimited</v>
      </c>
      <c r="G140" s="268" cm="1">
        <f t="array" ref="G140">INDEX(WS.data,1,G$28,$B140)</f>
        <v>0</v>
      </c>
      <c r="H140" s="268" cm="1">
        <f t="array" ref="H140">INDEX(WS.data,1,H$28,$B140)</f>
        <v>0</v>
      </c>
      <c r="I140" s="268" cm="1">
        <f t="array" ref="I140">INDEX(WS.data,1,I$28,$B140)</f>
        <v>0</v>
      </c>
      <c r="J140" s="268" cm="1">
        <f t="array" ref="J140">INDEX(WS.data,1,J$28,$B140)</f>
        <v>0</v>
      </c>
      <c r="K140" s="268" cm="1">
        <f t="array" ref="K140">INDEX(WS.data,1,K$28,$B140)</f>
        <v>0</v>
      </c>
      <c r="L140" s="268" cm="1">
        <f t="array" ref="L140">INDEX(WS.data,1,L$28,$B140)</f>
        <v>0</v>
      </c>
      <c r="M140" s="268" cm="1">
        <f t="array" ref="M140">INDEX(WS.data,1,M$28,$B140)</f>
        <v>0</v>
      </c>
      <c r="N140" s="268" cm="1">
        <f t="array" ref="N140">INDEX(WS.data,1,N$28,$B140)</f>
        <v>0</v>
      </c>
      <c r="O140" s="268" cm="1">
        <f t="array" ref="O140">INDEX(WS.data,1,O$28,$B140)</f>
        <v>0</v>
      </c>
    </row>
    <row r="141" spans="2:15" hidden="1" outlineLevel="2">
      <c r="B141" s="238">
        <f t="shared" si="4"/>
        <v>3</v>
      </c>
      <c r="C141" s="73" t="str">
        <v>SpareOfferD2</v>
      </c>
      <c r="D141" s="73" t="str">
        <v>Unlimited</v>
      </c>
      <c r="G141" s="268" cm="1">
        <f t="array" ref="G141">INDEX(WS.data,1,G$28,$B141)</f>
        <v>0</v>
      </c>
      <c r="H141" s="268" cm="1">
        <f t="array" ref="H141">INDEX(WS.data,1,H$28,$B141)</f>
        <v>0</v>
      </c>
      <c r="I141" s="268" cm="1">
        <f t="array" ref="I141">INDEX(WS.data,1,I$28,$B141)</f>
        <v>0</v>
      </c>
      <c r="J141" s="268" cm="1">
        <f t="array" ref="J141">INDEX(WS.data,1,J$28,$B141)</f>
        <v>0</v>
      </c>
      <c r="K141" s="268" cm="1">
        <f t="array" ref="K141">INDEX(WS.data,1,K$28,$B141)</f>
        <v>0</v>
      </c>
      <c r="L141" s="268" cm="1">
        <f t="array" ref="L141">INDEX(WS.data,1,L$28,$B141)</f>
        <v>0</v>
      </c>
      <c r="M141" s="268" cm="1">
        <f t="array" ref="M141">INDEX(WS.data,1,M$28,$B141)</f>
        <v>0</v>
      </c>
      <c r="N141" s="268" cm="1">
        <f t="array" ref="N141">INDEX(WS.data,1,N$28,$B141)</f>
        <v>0</v>
      </c>
      <c r="O141" s="268" cm="1">
        <f t="array" ref="O141">INDEX(WS.data,1,O$28,$B141)</f>
        <v>0</v>
      </c>
    </row>
    <row r="142" spans="2:15" hidden="1" outlineLevel="2">
      <c r="B142" s="238">
        <f t="shared" si="4"/>
        <v>3</v>
      </c>
      <c r="C142" s="73" t="str">
        <v>SpareOfferD3</v>
      </c>
      <c r="D142" s="73" t="str">
        <v>Unlimited</v>
      </c>
      <c r="G142" s="268" cm="1">
        <f t="array" ref="G142">INDEX(WS.data,1,G$28,$B142)</f>
        <v>0</v>
      </c>
      <c r="H142" s="268" cm="1">
        <f t="array" ref="H142">INDEX(WS.data,1,H$28,$B142)</f>
        <v>0</v>
      </c>
      <c r="I142" s="268" cm="1">
        <f t="array" ref="I142">INDEX(WS.data,1,I$28,$B142)</f>
        <v>0</v>
      </c>
      <c r="J142" s="268" cm="1">
        <f t="array" ref="J142">INDEX(WS.data,1,J$28,$B142)</f>
        <v>0</v>
      </c>
      <c r="K142" s="268" cm="1">
        <f t="array" ref="K142">INDEX(WS.data,1,K$28,$B142)</f>
        <v>0</v>
      </c>
      <c r="L142" s="268" cm="1">
        <f t="array" ref="L142">INDEX(WS.data,1,L$28,$B142)</f>
        <v>0</v>
      </c>
      <c r="M142" s="268" cm="1">
        <f t="array" ref="M142">INDEX(WS.data,1,M$28,$B142)</f>
        <v>0</v>
      </c>
      <c r="N142" s="268" cm="1">
        <f t="array" ref="N142">INDEX(WS.data,1,N$28,$B142)</f>
        <v>0</v>
      </c>
      <c r="O142" s="268" cm="1">
        <f t="array" ref="O142">INDEX(WS.data,1,O$28,$B142)</f>
        <v>0</v>
      </c>
    </row>
    <row r="143" spans="2:15" hidden="1" outlineLevel="2">
      <c r="B143" s="238">
        <f t="shared" si="4"/>
        <v>3</v>
      </c>
      <c r="C143" s="73" t="str">
        <v>SpareOfferD4</v>
      </c>
      <c r="D143" s="73" t="str">
        <v>Unlimited</v>
      </c>
      <c r="G143" s="268" cm="1">
        <f t="array" ref="G143">INDEX(WS.data,1,G$28,$B143)</f>
        <v>0</v>
      </c>
      <c r="H143" s="268" cm="1">
        <f t="array" ref="H143">INDEX(WS.data,1,H$28,$B143)</f>
        <v>0</v>
      </c>
      <c r="I143" s="268" cm="1">
        <f t="array" ref="I143">INDEX(WS.data,1,I$28,$B143)</f>
        <v>0</v>
      </c>
      <c r="J143" s="268" cm="1">
        <f t="array" ref="J143">INDEX(WS.data,1,J$28,$B143)</f>
        <v>0</v>
      </c>
      <c r="K143" s="268" cm="1">
        <f t="array" ref="K143">INDEX(WS.data,1,K$28,$B143)</f>
        <v>0</v>
      </c>
      <c r="L143" s="268" cm="1">
        <f t="array" ref="L143">INDEX(WS.data,1,L$28,$B143)</f>
        <v>0</v>
      </c>
      <c r="M143" s="268" cm="1">
        <f t="array" ref="M143">INDEX(WS.data,1,M$28,$B143)</f>
        <v>0</v>
      </c>
      <c r="N143" s="268" cm="1">
        <f t="array" ref="N143">INDEX(WS.data,1,N$28,$B143)</f>
        <v>0</v>
      </c>
      <c r="O143" s="268" cm="1">
        <f t="array" ref="O143">INDEX(WS.data,1,O$28,$B143)</f>
        <v>0</v>
      </c>
    </row>
    <row r="144" spans="2:15" hidden="1" outlineLevel="2">
      <c r="B144" s="238">
        <f t="shared" si="4"/>
        <v>3</v>
      </c>
      <c r="C144" s="73" t="str">
        <v>SpareOfferD5</v>
      </c>
      <c r="D144" s="73" t="str">
        <v>Unlimited</v>
      </c>
      <c r="G144" s="268" cm="1">
        <f t="array" ref="G144">INDEX(WS.data,1,G$28,$B144)</f>
        <v>0</v>
      </c>
      <c r="H144" s="268" cm="1">
        <f t="array" ref="H144">INDEX(WS.data,1,H$28,$B144)</f>
        <v>0</v>
      </c>
      <c r="I144" s="268" cm="1">
        <f t="array" ref="I144">INDEX(WS.data,1,I$28,$B144)</f>
        <v>0</v>
      </c>
      <c r="J144" s="268" cm="1">
        <f t="array" ref="J144">INDEX(WS.data,1,J$28,$B144)</f>
        <v>0</v>
      </c>
      <c r="K144" s="268" cm="1">
        <f t="array" ref="K144">INDEX(WS.data,1,K$28,$B144)</f>
        <v>0</v>
      </c>
      <c r="L144" s="268" cm="1">
        <f t="array" ref="L144">INDEX(WS.data,1,L$28,$B144)</f>
        <v>0</v>
      </c>
      <c r="M144" s="268" cm="1">
        <f t="array" ref="M144">INDEX(WS.data,1,M$28,$B144)</f>
        <v>0</v>
      </c>
      <c r="N144" s="268" cm="1">
        <f t="array" ref="N144">INDEX(WS.data,1,N$28,$B144)</f>
        <v>0</v>
      </c>
      <c r="O144" s="268" cm="1">
        <f t="array" ref="O144">INDEX(WS.data,1,O$28,$B144)</f>
        <v>0</v>
      </c>
    </row>
    <row r="145" spans="2:15" hidden="1" outlineLevel="2">
      <c r="B145" s="238">
        <f t="shared" si="4"/>
        <v>3</v>
      </c>
      <c r="C145" s="73" t="str">
        <v>SpareOfferD6</v>
      </c>
      <c r="D145" s="73" t="str">
        <v>Unlimited</v>
      </c>
      <c r="G145" s="268" cm="1">
        <f t="array" ref="G145">INDEX(WS.data,1,G$28,$B145)</f>
        <v>0</v>
      </c>
      <c r="H145" s="268" cm="1">
        <f t="array" ref="H145">INDEX(WS.data,1,H$28,$B145)</f>
        <v>0</v>
      </c>
      <c r="I145" s="268" cm="1">
        <f t="array" ref="I145">INDEX(WS.data,1,I$28,$B145)</f>
        <v>0</v>
      </c>
      <c r="J145" s="268" cm="1">
        <f t="array" ref="J145">INDEX(WS.data,1,J$28,$B145)</f>
        <v>0</v>
      </c>
      <c r="K145" s="268" cm="1">
        <f t="array" ref="K145">INDEX(WS.data,1,K$28,$B145)</f>
        <v>0</v>
      </c>
      <c r="L145" s="268" cm="1">
        <f t="array" ref="L145">INDEX(WS.data,1,L$28,$B145)</f>
        <v>0</v>
      </c>
      <c r="M145" s="268" cm="1">
        <f t="array" ref="M145">INDEX(WS.data,1,M$28,$B145)</f>
        <v>0</v>
      </c>
      <c r="N145" s="268" cm="1">
        <f t="array" ref="N145">INDEX(WS.data,1,N$28,$B145)</f>
        <v>0</v>
      </c>
      <c r="O145" s="268" cm="1">
        <f t="array" ref="O145">INDEX(WS.data,1,O$28,$B145)</f>
        <v>0</v>
      </c>
    </row>
    <row r="146" spans="2:15" hidden="1" outlineLevel="2">
      <c r="B146" s="238">
        <f t="shared" si="4"/>
        <v>3</v>
      </c>
      <c r="C146" s="73" t="str">
        <v>SpareOfferD7</v>
      </c>
      <c r="D146" s="73" t="str">
        <v>Unlimited</v>
      </c>
      <c r="G146" s="268" cm="1">
        <f t="array" ref="G146">INDEX(WS.data,1,G$28,$B146)</f>
        <v>0</v>
      </c>
      <c r="H146" s="268" cm="1">
        <f t="array" ref="H146">INDEX(WS.data,1,H$28,$B146)</f>
        <v>0</v>
      </c>
      <c r="I146" s="268" cm="1">
        <f t="array" ref="I146">INDEX(WS.data,1,I$28,$B146)</f>
        <v>0</v>
      </c>
      <c r="J146" s="268" cm="1">
        <f t="array" ref="J146">INDEX(WS.data,1,J$28,$B146)</f>
        <v>0</v>
      </c>
      <c r="K146" s="268" cm="1">
        <f t="array" ref="K146">INDEX(WS.data,1,K$28,$B146)</f>
        <v>0</v>
      </c>
      <c r="L146" s="268" cm="1">
        <f t="array" ref="L146">INDEX(WS.data,1,L$28,$B146)</f>
        <v>0</v>
      </c>
      <c r="M146" s="268" cm="1">
        <f t="array" ref="M146">INDEX(WS.data,1,M$28,$B146)</f>
        <v>0</v>
      </c>
      <c r="N146" s="268" cm="1">
        <f t="array" ref="N146">INDEX(WS.data,1,N$28,$B146)</f>
        <v>0</v>
      </c>
      <c r="O146" s="268" cm="1">
        <f t="array" ref="O146">INDEX(WS.data,1,O$28,$B146)</f>
        <v>0</v>
      </c>
    </row>
    <row r="147" spans="2:15" hidden="1" outlineLevel="2">
      <c r="B147" s="238">
        <f t="shared" si="4"/>
        <v>3</v>
      </c>
      <c r="C147" s="73" t="str">
        <v>SpareOfferD8</v>
      </c>
      <c r="D147" s="73" t="str">
        <v>Unlimited</v>
      </c>
      <c r="G147" s="268" cm="1">
        <f t="array" ref="G147">INDEX(WS.data,1,G$28,$B147)</f>
        <v>0</v>
      </c>
      <c r="H147" s="268" cm="1">
        <f t="array" ref="H147">INDEX(WS.data,1,H$28,$B147)</f>
        <v>0</v>
      </c>
      <c r="I147" s="268" cm="1">
        <f t="array" ref="I147">INDEX(WS.data,1,I$28,$B147)</f>
        <v>0</v>
      </c>
      <c r="J147" s="268" cm="1">
        <f t="array" ref="J147">INDEX(WS.data,1,J$28,$B147)</f>
        <v>0</v>
      </c>
      <c r="K147" s="268" cm="1">
        <f t="array" ref="K147">INDEX(WS.data,1,K$28,$B147)</f>
        <v>0</v>
      </c>
      <c r="L147" s="268" cm="1">
        <f t="array" ref="L147">INDEX(WS.data,1,L$28,$B147)</f>
        <v>0</v>
      </c>
      <c r="M147" s="268" cm="1">
        <f t="array" ref="M147">INDEX(WS.data,1,M$28,$B147)</f>
        <v>0</v>
      </c>
      <c r="N147" s="268" cm="1">
        <f t="array" ref="N147">INDEX(WS.data,1,N$28,$B147)</f>
        <v>0</v>
      </c>
      <c r="O147" s="268" cm="1">
        <f t="array" ref="O147">INDEX(WS.data,1,O$28,$B147)</f>
        <v>0</v>
      </c>
    </row>
    <row r="148" spans="2:15" hidden="1" outlineLevel="2">
      <c r="B148" s="238">
        <f t="shared" si="4"/>
        <v>3</v>
      </c>
      <c r="C148" s="73" t="str">
        <v>SpareOfferD9</v>
      </c>
      <c r="D148" s="73" t="str">
        <v>Unlimited</v>
      </c>
      <c r="G148" s="268" cm="1">
        <f t="array" ref="G148">INDEX(WS.data,1,G$28,$B148)</f>
        <v>0</v>
      </c>
      <c r="H148" s="268" cm="1">
        <f t="array" ref="H148">INDEX(WS.data,1,H$28,$B148)</f>
        <v>0</v>
      </c>
      <c r="I148" s="268" cm="1">
        <f t="array" ref="I148">INDEX(WS.data,1,I$28,$B148)</f>
        <v>0</v>
      </c>
      <c r="J148" s="268" cm="1">
        <f t="array" ref="J148">INDEX(WS.data,1,J$28,$B148)</f>
        <v>0</v>
      </c>
      <c r="K148" s="268" cm="1">
        <f t="array" ref="K148">INDEX(WS.data,1,K$28,$B148)</f>
        <v>0</v>
      </c>
      <c r="L148" s="268" cm="1">
        <f t="array" ref="L148">INDEX(WS.data,1,L$28,$B148)</f>
        <v>0</v>
      </c>
      <c r="M148" s="268" cm="1">
        <f t="array" ref="M148">INDEX(WS.data,1,M$28,$B148)</f>
        <v>0</v>
      </c>
      <c r="N148" s="268" cm="1">
        <f t="array" ref="N148">INDEX(WS.data,1,N$28,$B148)</f>
        <v>0</v>
      </c>
      <c r="O148" s="268" cm="1">
        <f t="array" ref="O148">INDEX(WS.data,1,O$28,$B148)</f>
        <v>0</v>
      </c>
    </row>
    <row r="149" spans="2:15" hidden="1" outlineLevel="2">
      <c r="B149" s="238">
        <f t="shared" si="4"/>
        <v>3</v>
      </c>
      <c r="C149" s="73" t="str">
        <v>SpareOfferD10</v>
      </c>
      <c r="D149" s="73" t="str">
        <v>Unlimited</v>
      </c>
      <c r="G149" s="268" cm="1">
        <f t="array" ref="G149">INDEX(WS.data,1,G$28,$B149)</f>
        <v>0</v>
      </c>
      <c r="H149" s="268" cm="1">
        <f t="array" ref="H149">INDEX(WS.data,1,H$28,$B149)</f>
        <v>0</v>
      </c>
      <c r="I149" s="268" cm="1">
        <f t="array" ref="I149">INDEX(WS.data,1,I$28,$B149)</f>
        <v>0</v>
      </c>
      <c r="J149" s="268" cm="1">
        <f t="array" ref="J149">INDEX(WS.data,1,J$28,$B149)</f>
        <v>0</v>
      </c>
      <c r="K149" s="268" cm="1">
        <f t="array" ref="K149">INDEX(WS.data,1,K$28,$B149)</f>
        <v>0</v>
      </c>
      <c r="L149" s="268" cm="1">
        <f t="array" ref="L149">INDEX(WS.data,1,L$28,$B149)</f>
        <v>0</v>
      </c>
      <c r="M149" s="268" cm="1">
        <f t="array" ref="M149">INDEX(WS.data,1,M$28,$B149)</f>
        <v>0</v>
      </c>
      <c r="N149" s="268" cm="1">
        <f t="array" ref="N149">INDEX(WS.data,1,N$28,$B149)</f>
        <v>0</v>
      </c>
      <c r="O149" s="268" cm="1">
        <f t="array" ref="O149">INDEX(WS.data,1,O$28,$B149)</f>
        <v>0</v>
      </c>
    </row>
    <row r="150" spans="2:15" hidden="1" outlineLevel="2">
      <c r="B150" s="238">
        <f t="shared" si="4"/>
        <v>3</v>
      </c>
      <c r="C150" s="73" t="str">
        <v>SpareOfferD11</v>
      </c>
      <c r="D150" s="73" t="str">
        <v>Unlimited</v>
      </c>
      <c r="G150" s="268" cm="1">
        <f t="array" ref="G150">INDEX(WS.data,1,G$28,$B150)</f>
        <v>0</v>
      </c>
      <c r="H150" s="268" cm="1">
        <f t="array" ref="H150">INDEX(WS.data,1,H$28,$B150)</f>
        <v>0</v>
      </c>
      <c r="I150" s="268" cm="1">
        <f t="array" ref="I150">INDEX(WS.data,1,I$28,$B150)</f>
        <v>0</v>
      </c>
      <c r="J150" s="268" cm="1">
        <f t="array" ref="J150">INDEX(WS.data,1,J$28,$B150)</f>
        <v>0</v>
      </c>
      <c r="K150" s="268" cm="1">
        <f t="array" ref="K150">INDEX(WS.data,1,K$28,$B150)</f>
        <v>0</v>
      </c>
      <c r="L150" s="268" cm="1">
        <f t="array" ref="L150">INDEX(WS.data,1,L$28,$B150)</f>
        <v>0</v>
      </c>
      <c r="M150" s="268" cm="1">
        <f t="array" ref="M150">INDEX(WS.data,1,M$28,$B150)</f>
        <v>0</v>
      </c>
      <c r="N150" s="268" cm="1">
        <f t="array" ref="N150">INDEX(WS.data,1,N$28,$B150)</f>
        <v>0</v>
      </c>
      <c r="O150" s="268" cm="1">
        <f t="array" ref="O150">INDEX(WS.data,1,O$28,$B150)</f>
        <v>0</v>
      </c>
    </row>
    <row r="151" spans="2:15" hidden="1" outlineLevel="2">
      <c r="B151" s="238">
        <f t="shared" si="4"/>
        <v>3</v>
      </c>
      <c r="C151" s="73" t="str">
        <v>SpareOfferD12</v>
      </c>
      <c r="D151" s="73" t="str">
        <v>Unlimited</v>
      </c>
      <c r="G151" s="268" cm="1">
        <f t="array" ref="G151">INDEX(WS.data,1,G$28,$B151)</f>
        <v>0</v>
      </c>
      <c r="H151" s="268" cm="1">
        <f t="array" ref="H151">INDEX(WS.data,1,H$28,$B151)</f>
        <v>0</v>
      </c>
      <c r="I151" s="268" cm="1">
        <f t="array" ref="I151">INDEX(WS.data,1,I$28,$B151)</f>
        <v>0</v>
      </c>
      <c r="J151" s="268" cm="1">
        <f t="array" ref="J151">INDEX(WS.data,1,J$28,$B151)</f>
        <v>0</v>
      </c>
      <c r="K151" s="268" cm="1">
        <f t="array" ref="K151">INDEX(WS.data,1,K$28,$B151)</f>
        <v>0</v>
      </c>
      <c r="L151" s="268" cm="1">
        <f t="array" ref="L151">INDEX(WS.data,1,L$28,$B151)</f>
        <v>0</v>
      </c>
      <c r="M151" s="268" cm="1">
        <f t="array" ref="M151">INDEX(WS.data,1,M$28,$B151)</f>
        <v>0</v>
      </c>
      <c r="N151" s="268" cm="1">
        <f t="array" ref="N151">INDEX(WS.data,1,N$28,$B151)</f>
        <v>0</v>
      </c>
      <c r="O151" s="268" cm="1">
        <f t="array" ref="O151">INDEX(WS.data,1,O$28,$B151)</f>
        <v>0</v>
      </c>
    </row>
    <row r="152" spans="2:15" hidden="1" outlineLevel="2">
      <c r="B152" s="238">
        <f t="shared" si="4"/>
        <v>3</v>
      </c>
      <c r="C152" s="73" t="str">
        <v>SpareOfferD13</v>
      </c>
      <c r="D152" s="73" t="str">
        <v>Unlimited</v>
      </c>
      <c r="G152" s="268" cm="1">
        <f t="array" ref="G152">INDEX(WS.data,1,G$28,$B152)</f>
        <v>0</v>
      </c>
      <c r="H152" s="268" cm="1">
        <f t="array" ref="H152">INDEX(WS.data,1,H$28,$B152)</f>
        <v>0</v>
      </c>
      <c r="I152" s="268" cm="1">
        <f t="array" ref="I152">INDEX(WS.data,1,I$28,$B152)</f>
        <v>0</v>
      </c>
      <c r="J152" s="268" cm="1">
        <f t="array" ref="J152">INDEX(WS.data,1,J$28,$B152)</f>
        <v>0</v>
      </c>
      <c r="K152" s="268" cm="1">
        <f t="array" ref="K152">INDEX(WS.data,1,K$28,$B152)</f>
        <v>0</v>
      </c>
      <c r="L152" s="268" cm="1">
        <f t="array" ref="L152">INDEX(WS.data,1,L$28,$B152)</f>
        <v>0</v>
      </c>
      <c r="M152" s="268" cm="1">
        <f t="array" ref="M152">INDEX(WS.data,1,M$28,$B152)</f>
        <v>0</v>
      </c>
      <c r="N152" s="268" cm="1">
        <f t="array" ref="N152">INDEX(WS.data,1,N$28,$B152)</f>
        <v>0</v>
      </c>
      <c r="O152" s="268" cm="1">
        <f t="array" ref="O152">INDEX(WS.data,1,O$28,$B152)</f>
        <v>0</v>
      </c>
    </row>
    <row r="153" spans="2:15" hidden="1" outlineLevel="2">
      <c r="B153" s="238">
        <f t="shared" si="4"/>
        <v>3</v>
      </c>
      <c r="C153" s="73" t="str">
        <v>SpareOfferD14</v>
      </c>
      <c r="D153" s="73" t="str">
        <v>Unlimited</v>
      </c>
      <c r="G153" s="268" cm="1">
        <f t="array" ref="G153">INDEX(WS.data,1,G$28,$B153)</f>
        <v>0</v>
      </c>
      <c r="H153" s="268" cm="1">
        <f t="array" ref="H153">INDEX(WS.data,1,H$28,$B153)</f>
        <v>0</v>
      </c>
      <c r="I153" s="268" cm="1">
        <f t="array" ref="I153">INDEX(WS.data,1,I$28,$B153)</f>
        <v>0</v>
      </c>
      <c r="J153" s="268" cm="1">
        <f t="array" ref="J153">INDEX(WS.data,1,J$28,$B153)</f>
        <v>0</v>
      </c>
      <c r="K153" s="268" cm="1">
        <f t="array" ref="K153">INDEX(WS.data,1,K$28,$B153)</f>
        <v>0</v>
      </c>
      <c r="L153" s="268" cm="1">
        <f t="array" ref="L153">INDEX(WS.data,1,L$28,$B153)</f>
        <v>0</v>
      </c>
      <c r="M153" s="268" cm="1">
        <f t="array" ref="M153">INDEX(WS.data,1,M$28,$B153)</f>
        <v>0</v>
      </c>
      <c r="N153" s="268" cm="1">
        <f t="array" ref="N153">INDEX(WS.data,1,N$28,$B153)</f>
        <v>0</v>
      </c>
      <c r="O153" s="268" cm="1">
        <f t="array" ref="O153">INDEX(WS.data,1,O$28,$B153)</f>
        <v>0</v>
      </c>
    </row>
    <row r="154" spans="2:15" hidden="1" outlineLevel="2">
      <c r="B154" s="238">
        <f t="shared" si="4"/>
        <v>3</v>
      </c>
      <c r="C154" s="73" t="str">
        <v>SpareOfferD15</v>
      </c>
      <c r="D154" s="73" t="str">
        <v>Unlimited</v>
      </c>
      <c r="G154" s="268" cm="1">
        <f t="array" ref="G154">INDEX(WS.data,1,G$28,$B154)</f>
        <v>0</v>
      </c>
      <c r="H154" s="268" cm="1">
        <f t="array" ref="H154">INDEX(WS.data,1,H$28,$B154)</f>
        <v>0</v>
      </c>
      <c r="I154" s="268" cm="1">
        <f t="array" ref="I154">INDEX(WS.data,1,I$28,$B154)</f>
        <v>0</v>
      </c>
      <c r="J154" s="268" cm="1">
        <f t="array" ref="J154">INDEX(WS.data,1,J$28,$B154)</f>
        <v>0</v>
      </c>
      <c r="K154" s="268" cm="1">
        <f t="array" ref="K154">INDEX(WS.data,1,K$28,$B154)</f>
        <v>0</v>
      </c>
      <c r="L154" s="268" cm="1">
        <f t="array" ref="L154">INDEX(WS.data,1,L$28,$B154)</f>
        <v>0</v>
      </c>
      <c r="M154" s="268" cm="1">
        <f t="array" ref="M154">INDEX(WS.data,1,M$28,$B154)</f>
        <v>0</v>
      </c>
      <c r="N154" s="268" cm="1">
        <f t="array" ref="N154">INDEX(WS.data,1,N$28,$B154)</f>
        <v>0</v>
      </c>
      <c r="O154" s="268" cm="1">
        <f t="array" ref="O154">INDEX(WS.data,1,O$28,$B154)</f>
        <v>0</v>
      </c>
    </row>
    <row r="155" spans="2:15" hidden="1" outlineLevel="2">
      <c r="B155" s="238">
        <f t="shared" si="4"/>
        <v>3</v>
      </c>
      <c r="C155" s="73" t="str">
        <v>SpareOfferD16</v>
      </c>
      <c r="D155" s="73" t="str">
        <v>Unlimited</v>
      </c>
      <c r="G155" s="268" cm="1">
        <f t="array" ref="G155">INDEX(WS.data,1,G$28,$B155)</f>
        <v>0</v>
      </c>
      <c r="H155" s="268" cm="1">
        <f t="array" ref="H155">INDEX(WS.data,1,H$28,$B155)</f>
        <v>0</v>
      </c>
      <c r="I155" s="268" cm="1">
        <f t="array" ref="I155">INDEX(WS.data,1,I$28,$B155)</f>
        <v>0</v>
      </c>
      <c r="J155" s="268" cm="1">
        <f t="array" ref="J155">INDEX(WS.data,1,J$28,$B155)</f>
        <v>0</v>
      </c>
      <c r="K155" s="268" cm="1">
        <f t="array" ref="K155">INDEX(WS.data,1,K$28,$B155)</f>
        <v>0</v>
      </c>
      <c r="L155" s="268" cm="1">
        <f t="array" ref="L155">INDEX(WS.data,1,L$28,$B155)</f>
        <v>0</v>
      </c>
      <c r="M155" s="268" cm="1">
        <f t="array" ref="M155">INDEX(WS.data,1,M$28,$B155)</f>
        <v>0</v>
      </c>
      <c r="N155" s="268" cm="1">
        <f t="array" ref="N155">INDEX(WS.data,1,N$28,$B155)</f>
        <v>0</v>
      </c>
      <c r="O155" s="268" cm="1">
        <f t="array" ref="O155">INDEX(WS.data,1,O$28,$B155)</f>
        <v>0</v>
      </c>
    </row>
    <row r="156" spans="2:15" hidden="1" outlineLevel="2">
      <c r="B156" s="238">
        <f t="shared" si="4"/>
        <v>3</v>
      </c>
      <c r="C156" s="73" t="str">
        <v>SpareOfferD17</v>
      </c>
      <c r="D156" s="73" t="str">
        <v>Unlimited</v>
      </c>
      <c r="G156" s="268" cm="1">
        <f t="array" ref="G156">INDEX(WS.data,1,G$28,$B156)</f>
        <v>0</v>
      </c>
      <c r="H156" s="268" cm="1">
        <f t="array" ref="H156">INDEX(WS.data,1,H$28,$B156)</f>
        <v>0</v>
      </c>
      <c r="I156" s="268" cm="1">
        <f t="array" ref="I156">INDEX(WS.data,1,I$28,$B156)</f>
        <v>0</v>
      </c>
      <c r="J156" s="268" cm="1">
        <f t="array" ref="J156">INDEX(WS.data,1,J$28,$B156)</f>
        <v>0</v>
      </c>
      <c r="K156" s="268" cm="1">
        <f t="array" ref="K156">INDEX(WS.data,1,K$28,$B156)</f>
        <v>0</v>
      </c>
      <c r="L156" s="268" cm="1">
        <f t="array" ref="L156">INDEX(WS.data,1,L$28,$B156)</f>
        <v>0</v>
      </c>
      <c r="M156" s="268" cm="1">
        <f t="array" ref="M156">INDEX(WS.data,1,M$28,$B156)</f>
        <v>0</v>
      </c>
      <c r="N156" s="268" cm="1">
        <f t="array" ref="N156">INDEX(WS.data,1,N$28,$B156)</f>
        <v>0</v>
      </c>
      <c r="O156" s="268" cm="1">
        <f t="array" ref="O156">INDEX(WS.data,1,O$28,$B156)</f>
        <v>0</v>
      </c>
    </row>
    <row r="157" spans="2:15" hidden="1" outlineLevel="2">
      <c r="B157" s="238">
        <f t="shared" si="4"/>
        <v>3</v>
      </c>
      <c r="C157" s="73" t="str">
        <v>SpareOfferD18</v>
      </c>
      <c r="D157" s="73" t="str">
        <v>Unlimited</v>
      </c>
      <c r="G157" s="268" cm="1">
        <f t="array" ref="G157">INDEX(WS.data,1,G$28,$B157)</f>
        <v>0</v>
      </c>
      <c r="H157" s="268" cm="1">
        <f t="array" ref="H157">INDEX(WS.data,1,H$28,$B157)</f>
        <v>0</v>
      </c>
      <c r="I157" s="268" cm="1">
        <f t="array" ref="I157">INDEX(WS.data,1,I$28,$B157)</f>
        <v>0</v>
      </c>
      <c r="J157" s="268" cm="1">
        <f t="array" ref="J157">INDEX(WS.data,1,J$28,$B157)</f>
        <v>0</v>
      </c>
      <c r="K157" s="268" cm="1">
        <f t="array" ref="K157">INDEX(WS.data,1,K$28,$B157)</f>
        <v>0</v>
      </c>
      <c r="L157" s="268" cm="1">
        <f t="array" ref="L157">INDEX(WS.data,1,L$28,$B157)</f>
        <v>0</v>
      </c>
      <c r="M157" s="268" cm="1">
        <f t="array" ref="M157">INDEX(WS.data,1,M$28,$B157)</f>
        <v>0</v>
      </c>
      <c r="N157" s="268" cm="1">
        <f t="array" ref="N157">INDEX(WS.data,1,N$28,$B157)</f>
        <v>0</v>
      </c>
      <c r="O157" s="268" cm="1">
        <f t="array" ref="O157">INDEX(WS.data,1,O$28,$B157)</f>
        <v>0</v>
      </c>
    </row>
    <row r="158" spans="2:15" hidden="1" outlineLevel="2">
      <c r="B158" s="238">
        <f t="shared" si="4"/>
        <v>3</v>
      </c>
      <c r="C158" s="73" t="str">
        <v>SpareOfferD19</v>
      </c>
      <c r="D158" s="73" t="str">
        <v>Unlimited</v>
      </c>
      <c r="G158" s="268" cm="1">
        <f t="array" ref="G158">INDEX(WS.data,1,G$28,$B158)</f>
        <v>0</v>
      </c>
      <c r="H158" s="268" cm="1">
        <f t="array" ref="H158">INDEX(WS.data,1,H$28,$B158)</f>
        <v>0</v>
      </c>
      <c r="I158" s="268" cm="1">
        <f t="array" ref="I158">INDEX(WS.data,1,I$28,$B158)</f>
        <v>0</v>
      </c>
      <c r="J158" s="268" cm="1">
        <f t="array" ref="J158">INDEX(WS.data,1,J$28,$B158)</f>
        <v>0</v>
      </c>
      <c r="K158" s="268" cm="1">
        <f t="array" ref="K158">INDEX(WS.data,1,K$28,$B158)</f>
        <v>0</v>
      </c>
      <c r="L158" s="268" cm="1">
        <f t="array" ref="L158">INDEX(WS.data,1,L$28,$B158)</f>
        <v>0</v>
      </c>
      <c r="M158" s="268" cm="1">
        <f t="array" ref="M158">INDEX(WS.data,1,M$28,$B158)</f>
        <v>0</v>
      </c>
      <c r="N158" s="268" cm="1">
        <f t="array" ref="N158">INDEX(WS.data,1,N$28,$B158)</f>
        <v>0</v>
      </c>
      <c r="O158" s="268" cm="1">
        <f t="array" ref="O158">INDEX(WS.data,1,O$28,$B158)</f>
        <v>0</v>
      </c>
    </row>
    <row r="159" spans="2:15" hidden="1" outlineLevel="2">
      <c r="B159" s="238">
        <f t="shared" si="4"/>
        <v>3</v>
      </c>
      <c r="C159" s="73" t="str">
        <v>SpareOfferD20</v>
      </c>
      <c r="D159" s="73" t="str">
        <v>Unlimited</v>
      </c>
      <c r="G159" s="268" cm="1">
        <f t="array" ref="G159">INDEX(WS.data,1,G$28,$B159)</f>
        <v>0</v>
      </c>
      <c r="H159" s="268" cm="1">
        <f t="array" ref="H159">INDEX(WS.data,1,H$28,$B159)</f>
        <v>0</v>
      </c>
      <c r="I159" s="268" cm="1">
        <f t="array" ref="I159">INDEX(WS.data,1,I$28,$B159)</f>
        <v>0</v>
      </c>
      <c r="J159" s="268" cm="1">
        <f t="array" ref="J159">INDEX(WS.data,1,J$28,$B159)</f>
        <v>0</v>
      </c>
      <c r="K159" s="268" cm="1">
        <f t="array" ref="K159">INDEX(WS.data,1,K$28,$B159)</f>
        <v>0</v>
      </c>
      <c r="L159" s="268" cm="1">
        <f t="array" ref="L159">INDEX(WS.data,1,L$28,$B159)</f>
        <v>0</v>
      </c>
      <c r="M159" s="268" cm="1">
        <f t="array" ref="M159">INDEX(WS.data,1,M$28,$B159)</f>
        <v>0</v>
      </c>
      <c r="N159" s="268" cm="1">
        <f t="array" ref="N159">INDEX(WS.data,1,N$28,$B159)</f>
        <v>0</v>
      </c>
      <c r="O159" s="268" cm="1">
        <f t="array" ref="O159">INDEX(WS.data,1,O$28,$B159)</f>
        <v>0</v>
      </c>
    </row>
    <row r="160" spans="2:15" hidden="1" outlineLevel="2">
      <c r="B160" s="238">
        <f t="shared" si="4"/>
        <v>3</v>
      </c>
      <c r="C160" s="73" t="str">
        <v>SpareOfferD21</v>
      </c>
      <c r="D160" s="73" t="str">
        <v>Unlimited</v>
      </c>
      <c r="G160" s="268" cm="1">
        <f t="array" ref="G160">INDEX(WS.data,1,G$28,$B160)</f>
        <v>0</v>
      </c>
      <c r="H160" s="268" cm="1">
        <f t="array" ref="H160">INDEX(WS.data,1,H$28,$B160)</f>
        <v>0</v>
      </c>
      <c r="I160" s="268" cm="1">
        <f t="array" ref="I160">INDEX(WS.data,1,I$28,$B160)</f>
        <v>0</v>
      </c>
      <c r="J160" s="268" cm="1">
        <f t="array" ref="J160">INDEX(WS.data,1,J$28,$B160)</f>
        <v>0</v>
      </c>
      <c r="K160" s="268" cm="1">
        <f t="array" ref="K160">INDEX(WS.data,1,K$28,$B160)</f>
        <v>0</v>
      </c>
      <c r="L160" s="268" cm="1">
        <f t="array" ref="L160">INDEX(WS.data,1,L$28,$B160)</f>
        <v>0</v>
      </c>
      <c r="M160" s="268" cm="1">
        <f t="array" ref="M160">INDEX(WS.data,1,M$28,$B160)</f>
        <v>0</v>
      </c>
      <c r="N160" s="268" cm="1">
        <f t="array" ref="N160">INDEX(WS.data,1,N$28,$B160)</f>
        <v>0</v>
      </c>
      <c r="O160" s="268" cm="1">
        <f t="array" ref="O160">INDEX(WS.data,1,O$28,$B160)</f>
        <v>0</v>
      </c>
    </row>
    <row r="161" spans="2:15" hidden="1" outlineLevel="2">
      <c r="B161" s="238">
        <f t="shared" si="4"/>
        <v>3</v>
      </c>
      <c r="C161" s="73" t="str">
        <v>SpareOfferD22</v>
      </c>
      <c r="D161" s="73" t="str">
        <v>Unlimited</v>
      </c>
      <c r="G161" s="268" cm="1">
        <f t="array" ref="G161">INDEX(WS.data,1,G$28,$B161)</f>
        <v>0</v>
      </c>
      <c r="H161" s="268" cm="1">
        <f t="array" ref="H161">INDEX(WS.data,1,H$28,$B161)</f>
        <v>0</v>
      </c>
      <c r="I161" s="268" cm="1">
        <f t="array" ref="I161">INDEX(WS.data,1,I$28,$B161)</f>
        <v>0</v>
      </c>
      <c r="J161" s="268" cm="1">
        <f t="array" ref="J161">INDEX(WS.data,1,J$28,$B161)</f>
        <v>0</v>
      </c>
      <c r="K161" s="268" cm="1">
        <f t="array" ref="K161">INDEX(WS.data,1,K$28,$B161)</f>
        <v>0</v>
      </c>
      <c r="L161" s="268" cm="1">
        <f t="array" ref="L161">INDEX(WS.data,1,L$28,$B161)</f>
        <v>0</v>
      </c>
      <c r="M161" s="268" cm="1">
        <f t="array" ref="M161">INDEX(WS.data,1,M$28,$B161)</f>
        <v>0</v>
      </c>
      <c r="N161" s="268" cm="1">
        <f t="array" ref="N161">INDEX(WS.data,1,N$28,$B161)</f>
        <v>0</v>
      </c>
      <c r="O161" s="268" cm="1">
        <f t="array" ref="O161">INDEX(WS.data,1,O$28,$B161)</f>
        <v>0</v>
      </c>
    </row>
    <row r="162" spans="2:15" hidden="1" outlineLevel="2">
      <c r="B162" s="238">
        <f t="shared" si="4"/>
        <v>3</v>
      </c>
      <c r="C162" s="73" t="str">
        <v>SpareOfferD23</v>
      </c>
      <c r="D162" s="73" t="str">
        <v>Unlimited</v>
      </c>
      <c r="G162" s="268" cm="1">
        <f t="array" ref="G162">INDEX(WS.data,1,G$28,$B162)</f>
        <v>0</v>
      </c>
      <c r="H162" s="268" cm="1">
        <f t="array" ref="H162">INDEX(WS.data,1,H$28,$B162)</f>
        <v>0</v>
      </c>
      <c r="I162" s="268" cm="1">
        <f t="array" ref="I162">INDEX(WS.data,1,I$28,$B162)</f>
        <v>0</v>
      </c>
      <c r="J162" s="268" cm="1">
        <f t="array" ref="J162">INDEX(WS.data,1,J$28,$B162)</f>
        <v>0</v>
      </c>
      <c r="K162" s="268" cm="1">
        <f t="array" ref="K162">INDEX(WS.data,1,K$28,$B162)</f>
        <v>0</v>
      </c>
      <c r="L162" s="268" cm="1">
        <f t="array" ref="L162">INDEX(WS.data,1,L$28,$B162)</f>
        <v>0</v>
      </c>
      <c r="M162" s="268" cm="1">
        <f t="array" ref="M162">INDEX(WS.data,1,M$28,$B162)</f>
        <v>0</v>
      </c>
      <c r="N162" s="268" cm="1">
        <f t="array" ref="N162">INDEX(WS.data,1,N$28,$B162)</f>
        <v>0</v>
      </c>
      <c r="O162" s="268" cm="1">
        <f t="array" ref="O162">INDEX(WS.data,1,O$28,$B162)</f>
        <v>0</v>
      </c>
    </row>
    <row r="163" spans="2:15" hidden="1" outlineLevel="2">
      <c r="B163" s="238">
        <f t="shared" si="4"/>
        <v>3</v>
      </c>
      <c r="C163" s="73" t="str">
        <v>SpareOfferD24</v>
      </c>
      <c r="D163" s="73" t="str">
        <v>Unlimited</v>
      </c>
      <c r="G163" s="268" cm="1">
        <f t="array" ref="G163">INDEX(WS.data,1,G$28,$B163)</f>
        <v>0</v>
      </c>
      <c r="H163" s="268" cm="1">
        <f t="array" ref="H163">INDEX(WS.data,1,H$28,$B163)</f>
        <v>0</v>
      </c>
      <c r="I163" s="268" cm="1">
        <f t="array" ref="I163">INDEX(WS.data,1,I$28,$B163)</f>
        <v>0</v>
      </c>
      <c r="J163" s="268" cm="1">
        <f t="array" ref="J163">INDEX(WS.data,1,J$28,$B163)</f>
        <v>0</v>
      </c>
      <c r="K163" s="268" cm="1">
        <f t="array" ref="K163">INDEX(WS.data,1,K$28,$B163)</f>
        <v>0</v>
      </c>
      <c r="L163" s="268" cm="1">
        <f t="array" ref="L163">INDEX(WS.data,1,L$28,$B163)</f>
        <v>0</v>
      </c>
      <c r="M163" s="268" cm="1">
        <f t="array" ref="M163">INDEX(WS.data,1,M$28,$B163)</f>
        <v>0</v>
      </c>
      <c r="N163" s="268" cm="1">
        <f t="array" ref="N163">INDEX(WS.data,1,N$28,$B163)</f>
        <v>0</v>
      </c>
      <c r="O163" s="268" cm="1">
        <f t="array" ref="O163">INDEX(WS.data,1,O$28,$B163)</f>
        <v>0</v>
      </c>
    </row>
    <row r="164" spans="2:15" hidden="1" outlineLevel="2">
      <c r="B164" s="238">
        <f t="shared" si="4"/>
        <v>3</v>
      </c>
      <c r="C164" s="73" t="str">
        <v>SpareOfferD25</v>
      </c>
      <c r="D164" s="73" t="str">
        <v>Unlimited</v>
      </c>
      <c r="G164" s="268" cm="1">
        <f t="array" ref="G164">INDEX(WS.data,1,G$28,$B164)</f>
        <v>0</v>
      </c>
      <c r="H164" s="268" cm="1">
        <f t="array" ref="H164">INDEX(WS.data,1,H$28,$B164)</f>
        <v>0</v>
      </c>
      <c r="I164" s="268" cm="1">
        <f t="array" ref="I164">INDEX(WS.data,1,I$28,$B164)</f>
        <v>0</v>
      </c>
      <c r="J164" s="268" cm="1">
        <f t="array" ref="J164">INDEX(WS.data,1,J$28,$B164)</f>
        <v>0</v>
      </c>
      <c r="K164" s="268" cm="1">
        <f t="array" ref="K164">INDEX(WS.data,1,K$28,$B164)</f>
        <v>0</v>
      </c>
      <c r="L164" s="268" cm="1">
        <f t="array" ref="L164">INDEX(WS.data,1,L$28,$B164)</f>
        <v>0</v>
      </c>
      <c r="M164" s="268" cm="1">
        <f t="array" ref="M164">INDEX(WS.data,1,M$28,$B164)</f>
        <v>0</v>
      </c>
      <c r="N164" s="268" cm="1">
        <f t="array" ref="N164">INDEX(WS.data,1,N$28,$B164)</f>
        <v>0</v>
      </c>
      <c r="O164" s="268" cm="1">
        <f t="array" ref="O164">INDEX(WS.data,1,O$28,$B164)</f>
        <v>0</v>
      </c>
    </row>
    <row r="165" spans="2:15" hidden="1" outlineLevel="2">
      <c r="B165" s="238">
        <f t="shared" si="4"/>
        <v>3</v>
      </c>
      <c r="C165" s="73" t="str">
        <v>SpareOfferD26</v>
      </c>
      <c r="D165" s="73" t="str">
        <v>Unlimited</v>
      </c>
      <c r="G165" s="268" cm="1">
        <f t="array" ref="G165">INDEX(WS.data,1,G$28,$B165)</f>
        <v>0</v>
      </c>
      <c r="H165" s="268" cm="1">
        <f t="array" ref="H165">INDEX(WS.data,1,H$28,$B165)</f>
        <v>0</v>
      </c>
      <c r="I165" s="268" cm="1">
        <f t="array" ref="I165">INDEX(WS.data,1,I$28,$B165)</f>
        <v>0</v>
      </c>
      <c r="J165" s="268" cm="1">
        <f t="array" ref="J165">INDEX(WS.data,1,J$28,$B165)</f>
        <v>0</v>
      </c>
      <c r="K165" s="268" cm="1">
        <f t="array" ref="K165">INDEX(WS.data,1,K$28,$B165)</f>
        <v>0</v>
      </c>
      <c r="L165" s="268" cm="1">
        <f t="array" ref="L165">INDEX(WS.data,1,L$28,$B165)</f>
        <v>0</v>
      </c>
      <c r="M165" s="268" cm="1">
        <f t="array" ref="M165">INDEX(WS.data,1,M$28,$B165)</f>
        <v>0</v>
      </c>
      <c r="N165" s="268" cm="1">
        <f t="array" ref="N165">INDEX(WS.data,1,N$28,$B165)</f>
        <v>0</v>
      </c>
      <c r="O165" s="268" cm="1">
        <f t="array" ref="O165">INDEX(WS.data,1,O$28,$B165)</f>
        <v>0</v>
      </c>
    </row>
    <row r="166" spans="2:15" hidden="1" outlineLevel="2">
      <c r="B166" s="238">
        <f t="shared" si="4"/>
        <v>3</v>
      </c>
      <c r="C166" s="73" t="str">
        <v>SpareOfferD27</v>
      </c>
      <c r="D166" s="73" t="str">
        <v>Unlimited</v>
      </c>
      <c r="G166" s="268" cm="1">
        <f t="array" ref="G166">INDEX(WS.data,1,G$28,$B166)</f>
        <v>0</v>
      </c>
      <c r="H166" s="268" cm="1">
        <f t="array" ref="H166">INDEX(WS.data,1,H$28,$B166)</f>
        <v>0</v>
      </c>
      <c r="I166" s="268" cm="1">
        <f t="array" ref="I166">INDEX(WS.data,1,I$28,$B166)</f>
        <v>0</v>
      </c>
      <c r="J166" s="268" cm="1">
        <f t="array" ref="J166">INDEX(WS.data,1,J$28,$B166)</f>
        <v>0</v>
      </c>
      <c r="K166" s="268" cm="1">
        <f t="array" ref="K166">INDEX(WS.data,1,K$28,$B166)</f>
        <v>0</v>
      </c>
      <c r="L166" s="268" cm="1">
        <f t="array" ref="L166">INDEX(WS.data,1,L$28,$B166)</f>
        <v>0</v>
      </c>
      <c r="M166" s="268" cm="1">
        <f t="array" ref="M166">INDEX(WS.data,1,M$28,$B166)</f>
        <v>0</v>
      </c>
      <c r="N166" s="268" cm="1">
        <f t="array" ref="N166">INDEX(WS.data,1,N$28,$B166)</f>
        <v>0</v>
      </c>
      <c r="O166" s="268" cm="1">
        <f t="array" ref="O166">INDEX(WS.data,1,O$28,$B166)</f>
        <v>0</v>
      </c>
    </row>
    <row r="167" spans="2:15" hidden="1" outlineLevel="2">
      <c r="B167" s="238">
        <f t="shared" si="4"/>
        <v>3</v>
      </c>
      <c r="C167" s="73" t="str">
        <v>SpareOfferD28</v>
      </c>
      <c r="D167" s="73" t="str">
        <v>Unlimited</v>
      </c>
      <c r="G167" s="268" cm="1">
        <f t="array" ref="G167">INDEX(WS.data,1,G$28,$B167)</f>
        <v>0</v>
      </c>
      <c r="H167" s="268" cm="1">
        <f t="array" ref="H167">INDEX(WS.data,1,H$28,$B167)</f>
        <v>0</v>
      </c>
      <c r="I167" s="268" cm="1">
        <f t="array" ref="I167">INDEX(WS.data,1,I$28,$B167)</f>
        <v>0</v>
      </c>
      <c r="J167" s="268" cm="1">
        <f t="array" ref="J167">INDEX(WS.data,1,J$28,$B167)</f>
        <v>0</v>
      </c>
      <c r="K167" s="268" cm="1">
        <f t="array" ref="K167">INDEX(WS.data,1,K$28,$B167)</f>
        <v>0</v>
      </c>
      <c r="L167" s="268" cm="1">
        <f t="array" ref="L167">INDEX(WS.data,1,L$28,$B167)</f>
        <v>0</v>
      </c>
      <c r="M167" s="268" cm="1">
        <f t="array" ref="M167">INDEX(WS.data,1,M$28,$B167)</f>
        <v>0</v>
      </c>
      <c r="N167" s="268" cm="1">
        <f t="array" ref="N167">INDEX(WS.data,1,N$28,$B167)</f>
        <v>0</v>
      </c>
      <c r="O167" s="268" cm="1">
        <f t="array" ref="O167">INDEX(WS.data,1,O$28,$B167)</f>
        <v>0</v>
      </c>
    </row>
    <row r="168" spans="2:15" hidden="1" outlineLevel="2">
      <c r="B168" s="238">
        <f t="shared" si="4"/>
        <v>3</v>
      </c>
      <c r="C168" s="73" t="str">
        <v>SpareOfferD29</v>
      </c>
      <c r="D168" s="73" t="str">
        <v>Unlimited</v>
      </c>
      <c r="G168" s="268" cm="1">
        <f t="array" ref="G168">INDEX(WS.data,1,G$28,$B168)</f>
        <v>0</v>
      </c>
      <c r="H168" s="268" cm="1">
        <f t="array" ref="H168">INDEX(WS.data,1,H$28,$B168)</f>
        <v>0</v>
      </c>
      <c r="I168" s="268" cm="1">
        <f t="array" ref="I168">INDEX(WS.data,1,I$28,$B168)</f>
        <v>0</v>
      </c>
      <c r="J168" s="268" cm="1">
        <f t="array" ref="J168">INDEX(WS.data,1,J$28,$B168)</f>
        <v>0</v>
      </c>
      <c r="K168" s="268" cm="1">
        <f t="array" ref="K168">INDEX(WS.data,1,K$28,$B168)</f>
        <v>0</v>
      </c>
      <c r="L168" s="268" cm="1">
        <f t="array" ref="L168">INDEX(WS.data,1,L$28,$B168)</f>
        <v>0</v>
      </c>
      <c r="M168" s="268" cm="1">
        <f t="array" ref="M168">INDEX(WS.data,1,M$28,$B168)</f>
        <v>0</v>
      </c>
      <c r="N168" s="268" cm="1">
        <f t="array" ref="N168">INDEX(WS.data,1,N$28,$B168)</f>
        <v>0</v>
      </c>
      <c r="O168" s="268" cm="1">
        <f t="array" ref="O168">INDEX(WS.data,1,O$28,$B168)</f>
        <v>0</v>
      </c>
    </row>
    <row r="169" spans="2:15" hidden="1" outlineLevel="2">
      <c r="B169" s="238">
        <f t="shared" si="4"/>
        <v>3</v>
      </c>
      <c r="C169" s="73" t="str">
        <v>SpareOfferD30</v>
      </c>
      <c r="D169" s="73" t="str">
        <v>Unlimited</v>
      </c>
      <c r="G169" s="268" cm="1">
        <f t="array" ref="G169">INDEX(WS.data,1,G$28,$B169)</f>
        <v>0</v>
      </c>
      <c r="H169" s="268" cm="1">
        <f t="array" ref="H169">INDEX(WS.data,1,H$28,$B169)</f>
        <v>0</v>
      </c>
      <c r="I169" s="268" cm="1">
        <f t="array" ref="I169">INDEX(WS.data,1,I$28,$B169)</f>
        <v>0</v>
      </c>
      <c r="J169" s="268" cm="1">
        <f t="array" ref="J169">INDEX(WS.data,1,J$28,$B169)</f>
        <v>0</v>
      </c>
      <c r="K169" s="268" cm="1">
        <f t="array" ref="K169">INDEX(WS.data,1,K$28,$B169)</f>
        <v>0</v>
      </c>
      <c r="L169" s="268" cm="1">
        <f t="array" ref="L169">INDEX(WS.data,1,L$28,$B169)</f>
        <v>0</v>
      </c>
      <c r="M169" s="268" cm="1">
        <f t="array" ref="M169">INDEX(WS.data,1,M$28,$B169)</f>
        <v>0</v>
      </c>
      <c r="N169" s="268" cm="1">
        <f t="array" ref="N169">INDEX(WS.data,1,N$28,$B169)</f>
        <v>0</v>
      </c>
      <c r="O169" s="268" cm="1">
        <f t="array" ref="O169">INDEX(WS.data,1,O$28,$B169)</f>
        <v>0</v>
      </c>
    </row>
    <row r="170" spans="2:15" hidden="1" outlineLevel="2">
      <c r="B170" s="238">
        <f t="shared" si="4"/>
        <v>3</v>
      </c>
      <c r="C170" s="73" t="str">
        <v>SpareOfferD31</v>
      </c>
      <c r="D170" s="73" t="str">
        <v>Unlimited</v>
      </c>
      <c r="G170" s="268" cm="1">
        <f t="array" ref="G170">INDEX(WS.data,1,G$28,$B170)</f>
        <v>0</v>
      </c>
      <c r="H170" s="268" cm="1">
        <f t="array" ref="H170">INDEX(WS.data,1,H$28,$B170)</f>
        <v>0</v>
      </c>
      <c r="I170" s="268" cm="1">
        <f t="array" ref="I170">INDEX(WS.data,1,I$28,$B170)</f>
        <v>0</v>
      </c>
      <c r="J170" s="268" cm="1">
        <f t="array" ref="J170">INDEX(WS.data,1,J$28,$B170)</f>
        <v>0</v>
      </c>
      <c r="K170" s="268" cm="1">
        <f t="array" ref="K170">INDEX(WS.data,1,K$28,$B170)</f>
        <v>0</v>
      </c>
      <c r="L170" s="268" cm="1">
        <f t="array" ref="L170">INDEX(WS.data,1,L$28,$B170)</f>
        <v>0</v>
      </c>
      <c r="M170" s="268" cm="1">
        <f t="array" ref="M170">INDEX(WS.data,1,M$28,$B170)</f>
        <v>0</v>
      </c>
      <c r="N170" s="268" cm="1">
        <f t="array" ref="N170">INDEX(WS.data,1,N$28,$B170)</f>
        <v>0</v>
      </c>
      <c r="O170" s="268" cm="1">
        <f t="array" ref="O170">INDEX(WS.data,1,O$28,$B170)</f>
        <v>0</v>
      </c>
    </row>
    <row r="171" spans="2:15" hidden="1" outlineLevel="2">
      <c r="B171" s="238">
        <f t="shared" si="4"/>
        <v>3</v>
      </c>
      <c r="C171" s="73" t="str">
        <v>SpareOfferD32</v>
      </c>
      <c r="D171" s="73" t="str">
        <v>Unlimited</v>
      </c>
      <c r="G171" s="268" cm="1">
        <f t="array" ref="G171">INDEX(WS.data,1,G$28,$B171)</f>
        <v>0</v>
      </c>
      <c r="H171" s="268" cm="1">
        <f t="array" ref="H171">INDEX(WS.data,1,H$28,$B171)</f>
        <v>0</v>
      </c>
      <c r="I171" s="268" cm="1">
        <f t="array" ref="I171">INDEX(WS.data,1,I$28,$B171)</f>
        <v>0</v>
      </c>
      <c r="J171" s="268" cm="1">
        <f t="array" ref="J171">INDEX(WS.data,1,J$28,$B171)</f>
        <v>0</v>
      </c>
      <c r="K171" s="268" cm="1">
        <f t="array" ref="K171">INDEX(WS.data,1,K$28,$B171)</f>
        <v>0</v>
      </c>
      <c r="L171" s="268" cm="1">
        <f t="array" ref="L171">INDEX(WS.data,1,L$28,$B171)</f>
        <v>0</v>
      </c>
      <c r="M171" s="268" cm="1">
        <f t="array" ref="M171">INDEX(WS.data,1,M$28,$B171)</f>
        <v>0</v>
      </c>
      <c r="N171" s="268" cm="1">
        <f t="array" ref="N171">INDEX(WS.data,1,N$28,$B171)</f>
        <v>0</v>
      </c>
      <c r="O171" s="268" cm="1">
        <f t="array" ref="O171">INDEX(WS.data,1,O$28,$B171)</f>
        <v>0</v>
      </c>
    </row>
    <row r="172" spans="2:15" hidden="1" outlineLevel="2">
      <c r="B172" s="238">
        <f t="shared" si="4"/>
        <v>3</v>
      </c>
      <c r="C172" s="73" t="str">
        <v>SpareOfferD33</v>
      </c>
      <c r="D172" s="73" t="str">
        <v>Unlimited</v>
      </c>
      <c r="G172" s="268" cm="1">
        <f t="array" ref="G172">INDEX(WS.data,1,G$28,$B172)</f>
        <v>0</v>
      </c>
      <c r="H172" s="268" cm="1">
        <f t="array" ref="H172">INDEX(WS.data,1,H$28,$B172)</f>
        <v>0</v>
      </c>
      <c r="I172" s="268" cm="1">
        <f t="array" ref="I172">INDEX(WS.data,1,I$28,$B172)</f>
        <v>0</v>
      </c>
      <c r="J172" s="268" cm="1">
        <f t="array" ref="J172">INDEX(WS.data,1,J$28,$B172)</f>
        <v>0</v>
      </c>
      <c r="K172" s="268" cm="1">
        <f t="array" ref="K172">INDEX(WS.data,1,K$28,$B172)</f>
        <v>0</v>
      </c>
      <c r="L172" s="268" cm="1">
        <f t="array" ref="L172">INDEX(WS.data,1,L$28,$B172)</f>
        <v>0</v>
      </c>
      <c r="M172" s="268" cm="1">
        <f t="array" ref="M172">INDEX(WS.data,1,M$28,$B172)</f>
        <v>0</v>
      </c>
      <c r="N172" s="268" cm="1">
        <f t="array" ref="N172">INDEX(WS.data,1,N$28,$B172)</f>
        <v>0</v>
      </c>
      <c r="O172" s="268" cm="1">
        <f t="array" ref="O172">INDEX(WS.data,1,O$28,$B172)</f>
        <v>0</v>
      </c>
    </row>
    <row r="173" spans="2:15" hidden="1" outlineLevel="2">
      <c r="B173" s="238">
        <f t="shared" si="4"/>
        <v>3</v>
      </c>
      <c r="C173" s="73" t="str">
        <v>SpareOfferD34</v>
      </c>
      <c r="D173" s="73" t="str">
        <v>Unlimited</v>
      </c>
      <c r="G173" s="268" cm="1">
        <f t="array" ref="G173">INDEX(WS.data,1,G$28,$B173)</f>
        <v>0</v>
      </c>
      <c r="H173" s="268" cm="1">
        <f t="array" ref="H173">INDEX(WS.data,1,H$28,$B173)</f>
        <v>0</v>
      </c>
      <c r="I173" s="268" cm="1">
        <f t="array" ref="I173">INDEX(WS.data,1,I$28,$B173)</f>
        <v>0</v>
      </c>
      <c r="J173" s="268" cm="1">
        <f t="array" ref="J173">INDEX(WS.data,1,J$28,$B173)</f>
        <v>0</v>
      </c>
      <c r="K173" s="268" cm="1">
        <f t="array" ref="K173">INDEX(WS.data,1,K$28,$B173)</f>
        <v>0</v>
      </c>
      <c r="L173" s="268" cm="1">
        <f t="array" ref="L173">INDEX(WS.data,1,L$28,$B173)</f>
        <v>0</v>
      </c>
      <c r="M173" s="268" cm="1">
        <f t="array" ref="M173">INDEX(WS.data,1,M$28,$B173)</f>
        <v>0</v>
      </c>
      <c r="N173" s="268" cm="1">
        <f t="array" ref="N173">INDEX(WS.data,1,N$28,$B173)</f>
        <v>0</v>
      </c>
      <c r="O173" s="268" cm="1">
        <f t="array" ref="O173">INDEX(WS.data,1,O$28,$B173)</f>
        <v>0</v>
      </c>
    </row>
    <row r="174" spans="2:15" outlineLevel="1" collapsed="1">
      <c r="B174" s="238">
        <f t="shared" si="4"/>
        <v>3</v>
      </c>
      <c r="C174" s="73" t="str">
        <v>-</v>
      </c>
      <c r="D174" s="73" t="str">
        <v>Unlimited</v>
      </c>
      <c r="G174" s="268" cm="1">
        <f t="array" ref="G174">INDEX(WS.data,1,G$28,$B174)</f>
        <v>0</v>
      </c>
      <c r="H174" s="268" cm="1">
        <f t="array" ref="H174">INDEX(WS.data,1,H$28,$B174)</f>
        <v>0</v>
      </c>
      <c r="I174" s="268" cm="1">
        <f t="array" ref="I174">INDEX(WS.data,1,I$28,$B174)</f>
        <v>0</v>
      </c>
      <c r="J174" s="268" cm="1">
        <f t="array" ref="J174">INDEX(WS.data,1,J$28,$B174)</f>
        <v>0</v>
      </c>
      <c r="K174" s="268" cm="1">
        <f t="array" ref="K174">INDEX(WS.data,1,K$28,$B174)</f>
        <v>0</v>
      </c>
      <c r="L174" s="268" cm="1">
        <f t="array" ref="L174">INDEX(WS.data,1,L$28,$B174)</f>
        <v>0</v>
      </c>
      <c r="M174" s="268" cm="1">
        <f t="array" ref="M174">INDEX(WS.data,1,M$28,$B174)</f>
        <v>0</v>
      </c>
      <c r="N174" s="268" cm="1">
        <f t="array" ref="N174">INDEX(WS.data,1,N$28,$B174)</f>
        <v>0</v>
      </c>
      <c r="O174" s="268" cm="1">
        <f t="array" ref="O174">INDEX(WS.data,1,O$28,$B174)</f>
        <v>0</v>
      </c>
    </row>
    <row r="175" spans="2:15" outlineLevel="1"/>
    <row r="176" spans="2:15" outlineLevel="1">
      <c r="B176" s="91" t="s">
        <v>271</v>
      </c>
    </row>
    <row r="177" spans="3:21" outlineLevel="1"/>
    <row r="178" spans="3:21" outlineLevel="1">
      <c r="C178" s="35" t="s">
        <v>513</v>
      </c>
      <c r="G178" s="165" t="s">
        <v>312</v>
      </c>
      <c r="H178" s="165"/>
      <c r="I178" s="165"/>
      <c r="J178" s="165"/>
      <c r="K178" s="165"/>
      <c r="L178" s="165"/>
      <c r="M178" s="165"/>
      <c r="O178" s="165" t="s">
        <v>313</v>
      </c>
      <c r="P178" s="165"/>
      <c r="Q178" s="165"/>
      <c r="R178" s="66"/>
      <c r="S178" s="66"/>
      <c r="T178" s="66"/>
      <c r="U178" s="66"/>
    </row>
    <row r="179" spans="3:21" ht="34.5" outlineLevel="1">
      <c r="G179" s="95" t="str">
        <f t="array" ref="G179:M179">TRANSPOSE(voice.destination.plus.in)</f>
        <v>On-net</v>
      </c>
      <c r="H179" s="95" t="str">
        <v>Off-net fixed</v>
      </c>
      <c r="I179" s="95" t="str">
        <v>Off-net mobile</v>
      </c>
      <c r="J179" s="1" t="str">
        <v>International</v>
      </c>
      <c r="K179" s="1" t="str">
        <v>VAS</v>
      </c>
      <c r="L179" s="1" t="str">
        <v>Not used</v>
      </c>
      <c r="M179" s="95" t="str">
        <v>Termination</v>
      </c>
      <c r="O179" s="95" t="str">
        <f t="array" ref="O179:U179">TRANSPOSE(SMS.destination.plus.in)</f>
        <v>On-net</v>
      </c>
      <c r="P179" s="95" t="str">
        <v>Off-net fixed</v>
      </c>
      <c r="Q179" s="95" t="str">
        <v>Off-net mobile</v>
      </c>
      <c r="R179" s="1" t="str">
        <v>International</v>
      </c>
      <c r="S179" s="1" t="str">
        <v>Content messages: BankID</v>
      </c>
      <c r="T179" s="1" t="str">
        <v>Content messages: other</v>
      </c>
      <c r="U179" s="95" t="str">
        <v>Termination</v>
      </c>
    </row>
    <row r="180" spans="3:21" outlineLevel="1">
      <c r="C180" s="91" t="s">
        <v>89</v>
      </c>
      <c r="D180" t="s">
        <v>302</v>
      </c>
      <c r="G180" s="114">
        <f t="shared" ref="G180:M180" si="5">SUMPRODUCT(G181:G215,subscription.split.segment.1)</f>
        <v>0</v>
      </c>
      <c r="H180" s="114">
        <f t="shared" si="5"/>
        <v>0</v>
      </c>
      <c r="I180" s="114">
        <f t="shared" si="5"/>
        <v>0</v>
      </c>
      <c r="J180" s="114">
        <f t="shared" si="5"/>
        <v>0</v>
      </c>
      <c r="K180" s="114">
        <f t="shared" si="5"/>
        <v>0</v>
      </c>
      <c r="L180" s="114">
        <f t="shared" si="5"/>
        <v>0</v>
      </c>
      <c r="M180" s="114">
        <f t="shared" si="5"/>
        <v>0</v>
      </c>
      <c r="O180" s="114">
        <f t="shared" ref="O180:U180" si="6">SUMPRODUCT(O181:O215,subscription.split.segment.1)</f>
        <v>0</v>
      </c>
      <c r="P180" s="114">
        <f t="shared" si="6"/>
        <v>0</v>
      </c>
      <c r="Q180" s="114">
        <f t="shared" si="6"/>
        <v>0</v>
      </c>
      <c r="R180" s="114">
        <f t="shared" si="6"/>
        <v>0</v>
      </c>
      <c r="S180" s="114">
        <f t="shared" si="6"/>
        <v>0</v>
      </c>
      <c r="T180" s="114">
        <f t="shared" si="6"/>
        <v>0</v>
      </c>
      <c r="U180" s="114">
        <f t="shared" si="6"/>
        <v>0</v>
      </c>
    </row>
    <row r="181" spans="3:21" outlineLevel="1">
      <c r="C181" s="73" t="str">
        <f t="array" ref="C181:C215">offers.segment.1</f>
        <v>SpareOfferA1</v>
      </c>
      <c r="D181" t="s">
        <v>302</v>
      </c>
      <c r="G181" s="89">
        <f t="array" ref="G181:L215">out.split.min.per.month.segment.1</f>
        <v>0</v>
      </c>
      <c r="H181" s="89">
        <v>0</v>
      </c>
      <c r="I181" s="89">
        <v>0</v>
      </c>
      <c r="J181" s="89">
        <v>0</v>
      </c>
      <c r="K181" s="89">
        <v>0</v>
      </c>
      <c r="L181" s="89">
        <v>0</v>
      </c>
      <c r="M181" s="227">
        <f t="array" ref="M181:M215">in.min.per.month.segment.1</f>
        <v>0</v>
      </c>
      <c r="O181" s="89">
        <f t="array" ref="O181:T215">out.split.SMS.per.month.segment.1</f>
        <v>0</v>
      </c>
      <c r="P181" s="89">
        <v>0</v>
      </c>
      <c r="Q181" s="89">
        <v>0</v>
      </c>
      <c r="R181" s="89">
        <v>0</v>
      </c>
      <c r="S181" s="89">
        <v>0</v>
      </c>
      <c r="T181" s="89">
        <v>0</v>
      </c>
      <c r="U181" s="206">
        <f t="array" ref="U181:U215">in.SMS.per.month.segment.1</f>
        <v>0</v>
      </c>
    </row>
    <row r="182" spans="3:21" hidden="1" outlineLevel="2">
      <c r="C182" s="73" t="str">
        <v>SpareOfferA2</v>
      </c>
      <c r="D182" t="s">
        <v>302</v>
      </c>
      <c r="G182" s="89">
        <v>0</v>
      </c>
      <c r="H182" s="89">
        <v>0</v>
      </c>
      <c r="I182" s="89">
        <v>0</v>
      </c>
      <c r="J182" s="89">
        <v>0</v>
      </c>
      <c r="K182" s="89">
        <v>0</v>
      </c>
      <c r="L182" s="89">
        <v>0</v>
      </c>
      <c r="M182" s="227">
        <v>0</v>
      </c>
      <c r="O182" s="89">
        <v>0</v>
      </c>
      <c r="P182" s="89">
        <v>0</v>
      </c>
      <c r="Q182" s="89">
        <v>0</v>
      </c>
      <c r="R182" s="89">
        <v>0</v>
      </c>
      <c r="S182" s="89">
        <v>0</v>
      </c>
      <c r="T182" s="89">
        <v>0</v>
      </c>
      <c r="U182" s="206">
        <v>0</v>
      </c>
    </row>
    <row r="183" spans="3:21" hidden="1" outlineLevel="2">
      <c r="C183" s="73" t="str">
        <v>SpareOfferA3</v>
      </c>
      <c r="D183" t="s">
        <v>302</v>
      </c>
      <c r="G183" s="89">
        <v>0</v>
      </c>
      <c r="H183" s="89">
        <v>0</v>
      </c>
      <c r="I183" s="89">
        <v>0</v>
      </c>
      <c r="J183" s="89">
        <v>0</v>
      </c>
      <c r="K183" s="89">
        <v>0</v>
      </c>
      <c r="L183" s="89">
        <v>0</v>
      </c>
      <c r="M183" s="227">
        <v>0</v>
      </c>
      <c r="O183" s="89">
        <v>0</v>
      </c>
      <c r="P183" s="89">
        <v>0</v>
      </c>
      <c r="Q183" s="89">
        <v>0</v>
      </c>
      <c r="R183" s="89">
        <v>0</v>
      </c>
      <c r="S183" s="89">
        <v>0</v>
      </c>
      <c r="T183" s="89">
        <v>0</v>
      </c>
      <c r="U183" s="206">
        <v>0</v>
      </c>
    </row>
    <row r="184" spans="3:21" hidden="1" outlineLevel="2">
      <c r="C184" s="73" t="str">
        <v>SpareOfferA4</v>
      </c>
      <c r="D184" t="s">
        <v>302</v>
      </c>
      <c r="G184" s="89">
        <v>0</v>
      </c>
      <c r="H184" s="89">
        <v>0</v>
      </c>
      <c r="I184" s="89">
        <v>0</v>
      </c>
      <c r="J184" s="89">
        <v>0</v>
      </c>
      <c r="K184" s="89">
        <v>0</v>
      </c>
      <c r="L184" s="89">
        <v>0</v>
      </c>
      <c r="M184" s="227">
        <v>0</v>
      </c>
      <c r="O184" s="89">
        <v>0</v>
      </c>
      <c r="P184" s="89">
        <v>0</v>
      </c>
      <c r="Q184" s="89">
        <v>0</v>
      </c>
      <c r="R184" s="89">
        <v>0</v>
      </c>
      <c r="S184" s="89">
        <v>0</v>
      </c>
      <c r="T184" s="89">
        <v>0</v>
      </c>
      <c r="U184" s="206">
        <v>0</v>
      </c>
    </row>
    <row r="185" spans="3:21" hidden="1" outlineLevel="2">
      <c r="C185" s="73" t="str">
        <v>SpareOfferA5</v>
      </c>
      <c r="D185" t="s">
        <v>302</v>
      </c>
      <c r="G185" s="89">
        <v>0</v>
      </c>
      <c r="H185" s="89">
        <v>0</v>
      </c>
      <c r="I185" s="89">
        <v>0</v>
      </c>
      <c r="J185" s="89">
        <v>0</v>
      </c>
      <c r="K185" s="89">
        <v>0</v>
      </c>
      <c r="L185" s="89">
        <v>0</v>
      </c>
      <c r="M185" s="227">
        <v>0</v>
      </c>
      <c r="O185" s="89">
        <v>0</v>
      </c>
      <c r="P185" s="89">
        <v>0</v>
      </c>
      <c r="Q185" s="89">
        <v>0</v>
      </c>
      <c r="R185" s="89">
        <v>0</v>
      </c>
      <c r="S185" s="89">
        <v>0</v>
      </c>
      <c r="T185" s="89">
        <v>0</v>
      </c>
      <c r="U185" s="206">
        <v>0</v>
      </c>
    </row>
    <row r="186" spans="3:21" hidden="1" outlineLevel="2">
      <c r="C186" s="73" t="str">
        <v>SpareOfferA6</v>
      </c>
      <c r="D186" t="s">
        <v>302</v>
      </c>
      <c r="G186" s="89">
        <v>0</v>
      </c>
      <c r="H186" s="89">
        <v>0</v>
      </c>
      <c r="I186" s="89">
        <v>0</v>
      </c>
      <c r="J186" s="89">
        <v>0</v>
      </c>
      <c r="K186" s="89">
        <v>0</v>
      </c>
      <c r="L186" s="89">
        <v>0</v>
      </c>
      <c r="M186" s="227">
        <v>0</v>
      </c>
      <c r="O186" s="89">
        <v>0</v>
      </c>
      <c r="P186" s="89">
        <v>0</v>
      </c>
      <c r="Q186" s="89">
        <v>0</v>
      </c>
      <c r="R186" s="89">
        <v>0</v>
      </c>
      <c r="S186" s="89">
        <v>0</v>
      </c>
      <c r="T186" s="89">
        <v>0</v>
      </c>
      <c r="U186" s="206">
        <v>0</v>
      </c>
    </row>
    <row r="187" spans="3:21" hidden="1" outlineLevel="2">
      <c r="C187" s="73" t="str">
        <v>SpareOfferA7</v>
      </c>
      <c r="D187" t="s">
        <v>302</v>
      </c>
      <c r="G187" s="89">
        <v>0</v>
      </c>
      <c r="H187" s="89">
        <v>0</v>
      </c>
      <c r="I187" s="89">
        <v>0</v>
      </c>
      <c r="J187" s="89">
        <v>0</v>
      </c>
      <c r="K187" s="89">
        <v>0</v>
      </c>
      <c r="L187" s="89">
        <v>0</v>
      </c>
      <c r="M187" s="227">
        <v>0</v>
      </c>
      <c r="O187" s="89">
        <v>0</v>
      </c>
      <c r="P187" s="89">
        <v>0</v>
      </c>
      <c r="Q187" s="89">
        <v>0</v>
      </c>
      <c r="R187" s="89">
        <v>0</v>
      </c>
      <c r="S187" s="89">
        <v>0</v>
      </c>
      <c r="T187" s="89">
        <v>0</v>
      </c>
      <c r="U187" s="206">
        <v>0</v>
      </c>
    </row>
    <row r="188" spans="3:21" hidden="1" outlineLevel="2">
      <c r="C188" s="73" t="str">
        <v>SpareOfferA8</v>
      </c>
      <c r="D188" t="s">
        <v>302</v>
      </c>
      <c r="G188" s="89">
        <v>0</v>
      </c>
      <c r="H188" s="89">
        <v>0</v>
      </c>
      <c r="I188" s="89">
        <v>0</v>
      </c>
      <c r="J188" s="89">
        <v>0</v>
      </c>
      <c r="K188" s="89">
        <v>0</v>
      </c>
      <c r="L188" s="89">
        <v>0</v>
      </c>
      <c r="M188" s="227">
        <v>0</v>
      </c>
      <c r="O188" s="89">
        <v>0</v>
      </c>
      <c r="P188" s="89">
        <v>0</v>
      </c>
      <c r="Q188" s="89">
        <v>0</v>
      </c>
      <c r="R188" s="89">
        <v>0</v>
      </c>
      <c r="S188" s="89">
        <v>0</v>
      </c>
      <c r="T188" s="89">
        <v>0</v>
      </c>
      <c r="U188" s="206">
        <v>0</v>
      </c>
    </row>
    <row r="189" spans="3:21" hidden="1" outlineLevel="2">
      <c r="C189" s="73" t="str">
        <v>SpareOfferA9</v>
      </c>
      <c r="D189" t="s">
        <v>302</v>
      </c>
      <c r="G189" s="89">
        <v>0</v>
      </c>
      <c r="H189" s="89">
        <v>0</v>
      </c>
      <c r="I189" s="89">
        <v>0</v>
      </c>
      <c r="J189" s="89">
        <v>0</v>
      </c>
      <c r="K189" s="89">
        <v>0</v>
      </c>
      <c r="L189" s="89">
        <v>0</v>
      </c>
      <c r="M189" s="227">
        <v>0</v>
      </c>
      <c r="O189" s="89">
        <v>0</v>
      </c>
      <c r="P189" s="89">
        <v>0</v>
      </c>
      <c r="Q189" s="89">
        <v>0</v>
      </c>
      <c r="R189" s="89">
        <v>0</v>
      </c>
      <c r="S189" s="89">
        <v>0</v>
      </c>
      <c r="T189" s="89">
        <v>0</v>
      </c>
      <c r="U189" s="206">
        <v>0</v>
      </c>
    </row>
    <row r="190" spans="3:21" hidden="1" outlineLevel="2">
      <c r="C190" s="73" t="str">
        <v>SpareOfferA10</v>
      </c>
      <c r="D190" t="s">
        <v>302</v>
      </c>
      <c r="G190" s="89">
        <v>0</v>
      </c>
      <c r="H190" s="89">
        <v>0</v>
      </c>
      <c r="I190" s="89">
        <v>0</v>
      </c>
      <c r="J190" s="89">
        <v>0</v>
      </c>
      <c r="K190" s="89">
        <v>0</v>
      </c>
      <c r="L190" s="89">
        <v>0</v>
      </c>
      <c r="M190" s="227">
        <v>0</v>
      </c>
      <c r="O190" s="89">
        <v>0</v>
      </c>
      <c r="P190" s="89">
        <v>0</v>
      </c>
      <c r="Q190" s="89">
        <v>0</v>
      </c>
      <c r="R190" s="89">
        <v>0</v>
      </c>
      <c r="S190" s="89">
        <v>0</v>
      </c>
      <c r="T190" s="89">
        <v>0</v>
      </c>
      <c r="U190" s="206">
        <v>0</v>
      </c>
    </row>
    <row r="191" spans="3:21" hidden="1" outlineLevel="2">
      <c r="C191" s="73" t="str">
        <v>SpareOfferA11</v>
      </c>
      <c r="D191" t="s">
        <v>302</v>
      </c>
      <c r="G191" s="89">
        <v>0</v>
      </c>
      <c r="H191" s="89">
        <v>0</v>
      </c>
      <c r="I191" s="89">
        <v>0</v>
      </c>
      <c r="J191" s="89">
        <v>0</v>
      </c>
      <c r="K191" s="89">
        <v>0</v>
      </c>
      <c r="L191" s="89">
        <v>0</v>
      </c>
      <c r="M191" s="227">
        <v>0</v>
      </c>
      <c r="O191" s="89">
        <v>0</v>
      </c>
      <c r="P191" s="89">
        <v>0</v>
      </c>
      <c r="Q191" s="89">
        <v>0</v>
      </c>
      <c r="R191" s="89">
        <v>0</v>
      </c>
      <c r="S191" s="89">
        <v>0</v>
      </c>
      <c r="T191" s="89">
        <v>0</v>
      </c>
      <c r="U191" s="206">
        <v>0</v>
      </c>
    </row>
    <row r="192" spans="3:21" hidden="1" outlineLevel="2">
      <c r="C192" s="73" t="str">
        <v>SpareOfferA12</v>
      </c>
      <c r="D192" t="s">
        <v>302</v>
      </c>
      <c r="G192" s="89">
        <v>0</v>
      </c>
      <c r="H192" s="89">
        <v>0</v>
      </c>
      <c r="I192" s="89">
        <v>0</v>
      </c>
      <c r="J192" s="89">
        <v>0</v>
      </c>
      <c r="K192" s="89">
        <v>0</v>
      </c>
      <c r="L192" s="89">
        <v>0</v>
      </c>
      <c r="M192" s="227">
        <v>0</v>
      </c>
      <c r="O192" s="89">
        <v>0</v>
      </c>
      <c r="P192" s="89">
        <v>0</v>
      </c>
      <c r="Q192" s="89">
        <v>0</v>
      </c>
      <c r="R192" s="89">
        <v>0</v>
      </c>
      <c r="S192" s="89">
        <v>0</v>
      </c>
      <c r="T192" s="89">
        <v>0</v>
      </c>
      <c r="U192" s="206">
        <v>0</v>
      </c>
    </row>
    <row r="193" spans="3:21" hidden="1" outlineLevel="2">
      <c r="C193" s="73" t="str">
        <v>SpareOfferA13</v>
      </c>
      <c r="D193" t="s">
        <v>302</v>
      </c>
      <c r="G193" s="89">
        <v>0</v>
      </c>
      <c r="H193" s="89">
        <v>0</v>
      </c>
      <c r="I193" s="89">
        <v>0</v>
      </c>
      <c r="J193" s="89">
        <v>0</v>
      </c>
      <c r="K193" s="89">
        <v>0</v>
      </c>
      <c r="L193" s="89">
        <v>0</v>
      </c>
      <c r="M193" s="227">
        <v>0</v>
      </c>
      <c r="O193" s="89">
        <v>0</v>
      </c>
      <c r="P193" s="89">
        <v>0</v>
      </c>
      <c r="Q193" s="89">
        <v>0</v>
      </c>
      <c r="R193" s="89">
        <v>0</v>
      </c>
      <c r="S193" s="89">
        <v>0</v>
      </c>
      <c r="T193" s="89">
        <v>0</v>
      </c>
      <c r="U193" s="206">
        <v>0</v>
      </c>
    </row>
    <row r="194" spans="3:21" hidden="1" outlineLevel="2">
      <c r="C194" s="73" t="str">
        <v>SpareOfferA14</v>
      </c>
      <c r="D194" t="s">
        <v>302</v>
      </c>
      <c r="G194" s="89">
        <v>0</v>
      </c>
      <c r="H194" s="89">
        <v>0</v>
      </c>
      <c r="I194" s="89">
        <v>0</v>
      </c>
      <c r="J194" s="89">
        <v>0</v>
      </c>
      <c r="K194" s="89">
        <v>0</v>
      </c>
      <c r="L194" s="89">
        <v>0</v>
      </c>
      <c r="M194" s="227">
        <v>0</v>
      </c>
      <c r="O194" s="89">
        <v>0</v>
      </c>
      <c r="P194" s="89">
        <v>0</v>
      </c>
      <c r="Q194" s="89">
        <v>0</v>
      </c>
      <c r="R194" s="89">
        <v>0</v>
      </c>
      <c r="S194" s="89">
        <v>0</v>
      </c>
      <c r="T194" s="89">
        <v>0</v>
      </c>
      <c r="U194" s="206">
        <v>0</v>
      </c>
    </row>
    <row r="195" spans="3:21" hidden="1" outlineLevel="2">
      <c r="C195" s="73" t="str">
        <v>SpareOfferA15</v>
      </c>
      <c r="D195" t="s">
        <v>302</v>
      </c>
      <c r="G195" s="89">
        <v>0</v>
      </c>
      <c r="H195" s="89">
        <v>0</v>
      </c>
      <c r="I195" s="89">
        <v>0</v>
      </c>
      <c r="J195" s="89">
        <v>0</v>
      </c>
      <c r="K195" s="89">
        <v>0</v>
      </c>
      <c r="L195" s="89">
        <v>0</v>
      </c>
      <c r="M195" s="227">
        <v>0</v>
      </c>
      <c r="O195" s="89">
        <v>0</v>
      </c>
      <c r="P195" s="89">
        <v>0</v>
      </c>
      <c r="Q195" s="89">
        <v>0</v>
      </c>
      <c r="R195" s="89">
        <v>0</v>
      </c>
      <c r="S195" s="89">
        <v>0</v>
      </c>
      <c r="T195" s="89">
        <v>0</v>
      </c>
      <c r="U195" s="206">
        <v>0</v>
      </c>
    </row>
    <row r="196" spans="3:21" hidden="1" outlineLevel="2">
      <c r="C196" s="73" t="str">
        <v>SpareOfferA16</v>
      </c>
      <c r="D196" t="s">
        <v>302</v>
      </c>
      <c r="G196" s="89">
        <v>0</v>
      </c>
      <c r="H196" s="89">
        <v>0</v>
      </c>
      <c r="I196" s="89">
        <v>0</v>
      </c>
      <c r="J196" s="89">
        <v>0</v>
      </c>
      <c r="K196" s="89">
        <v>0</v>
      </c>
      <c r="L196" s="89">
        <v>0</v>
      </c>
      <c r="M196" s="227">
        <v>0</v>
      </c>
      <c r="O196" s="89">
        <v>0</v>
      </c>
      <c r="P196" s="89">
        <v>0</v>
      </c>
      <c r="Q196" s="89">
        <v>0</v>
      </c>
      <c r="R196" s="89">
        <v>0</v>
      </c>
      <c r="S196" s="89">
        <v>0</v>
      </c>
      <c r="T196" s="89">
        <v>0</v>
      </c>
      <c r="U196" s="206">
        <v>0</v>
      </c>
    </row>
    <row r="197" spans="3:21" hidden="1" outlineLevel="2">
      <c r="C197" s="73" t="str">
        <v>SpareOfferA17</v>
      </c>
      <c r="D197" t="s">
        <v>302</v>
      </c>
      <c r="G197" s="89">
        <v>0</v>
      </c>
      <c r="H197" s="89">
        <v>0</v>
      </c>
      <c r="I197" s="89">
        <v>0</v>
      </c>
      <c r="J197" s="89">
        <v>0</v>
      </c>
      <c r="K197" s="89">
        <v>0</v>
      </c>
      <c r="L197" s="89">
        <v>0</v>
      </c>
      <c r="M197" s="227">
        <v>0</v>
      </c>
      <c r="O197" s="89">
        <v>0</v>
      </c>
      <c r="P197" s="89">
        <v>0</v>
      </c>
      <c r="Q197" s="89">
        <v>0</v>
      </c>
      <c r="R197" s="89">
        <v>0</v>
      </c>
      <c r="S197" s="89">
        <v>0</v>
      </c>
      <c r="T197" s="89">
        <v>0</v>
      </c>
      <c r="U197" s="206">
        <v>0</v>
      </c>
    </row>
    <row r="198" spans="3:21" hidden="1" outlineLevel="2">
      <c r="C198" s="73" t="str">
        <v>SpareOfferA18</v>
      </c>
      <c r="D198" t="s">
        <v>302</v>
      </c>
      <c r="G198" s="89">
        <v>0</v>
      </c>
      <c r="H198" s="89">
        <v>0</v>
      </c>
      <c r="I198" s="89">
        <v>0</v>
      </c>
      <c r="J198" s="89">
        <v>0</v>
      </c>
      <c r="K198" s="89">
        <v>0</v>
      </c>
      <c r="L198" s="89">
        <v>0</v>
      </c>
      <c r="M198" s="227">
        <v>0</v>
      </c>
      <c r="O198" s="89">
        <v>0</v>
      </c>
      <c r="P198" s="89">
        <v>0</v>
      </c>
      <c r="Q198" s="89">
        <v>0</v>
      </c>
      <c r="R198" s="89">
        <v>0</v>
      </c>
      <c r="S198" s="89">
        <v>0</v>
      </c>
      <c r="T198" s="89">
        <v>0</v>
      </c>
      <c r="U198" s="206">
        <v>0</v>
      </c>
    </row>
    <row r="199" spans="3:21" hidden="1" outlineLevel="2">
      <c r="C199" s="73" t="str">
        <v>SpareOfferA19</v>
      </c>
      <c r="D199" t="s">
        <v>302</v>
      </c>
      <c r="G199" s="89">
        <v>0</v>
      </c>
      <c r="H199" s="89">
        <v>0</v>
      </c>
      <c r="I199" s="89">
        <v>0</v>
      </c>
      <c r="J199" s="89">
        <v>0</v>
      </c>
      <c r="K199" s="89">
        <v>0</v>
      </c>
      <c r="L199" s="89">
        <v>0</v>
      </c>
      <c r="M199" s="227">
        <v>0</v>
      </c>
      <c r="O199" s="89">
        <v>0</v>
      </c>
      <c r="P199" s="89">
        <v>0</v>
      </c>
      <c r="Q199" s="89">
        <v>0</v>
      </c>
      <c r="R199" s="89">
        <v>0</v>
      </c>
      <c r="S199" s="89">
        <v>0</v>
      </c>
      <c r="T199" s="89">
        <v>0</v>
      </c>
      <c r="U199" s="206">
        <v>0</v>
      </c>
    </row>
    <row r="200" spans="3:21" hidden="1" outlineLevel="2">
      <c r="C200" s="73" t="str">
        <v>SpareOfferA20</v>
      </c>
      <c r="D200" t="s">
        <v>302</v>
      </c>
      <c r="G200" s="89">
        <v>0</v>
      </c>
      <c r="H200" s="89">
        <v>0</v>
      </c>
      <c r="I200" s="89">
        <v>0</v>
      </c>
      <c r="J200" s="89">
        <v>0</v>
      </c>
      <c r="K200" s="89">
        <v>0</v>
      </c>
      <c r="L200" s="89">
        <v>0</v>
      </c>
      <c r="M200" s="227">
        <v>0</v>
      </c>
      <c r="O200" s="89">
        <v>0</v>
      </c>
      <c r="P200" s="89">
        <v>0</v>
      </c>
      <c r="Q200" s="89">
        <v>0</v>
      </c>
      <c r="R200" s="89">
        <v>0</v>
      </c>
      <c r="S200" s="89">
        <v>0</v>
      </c>
      <c r="T200" s="89">
        <v>0</v>
      </c>
      <c r="U200" s="206">
        <v>0</v>
      </c>
    </row>
    <row r="201" spans="3:21" hidden="1" outlineLevel="2">
      <c r="C201" s="73" t="str">
        <v>SpareOfferA21</v>
      </c>
      <c r="D201" t="s">
        <v>302</v>
      </c>
      <c r="G201" s="89">
        <v>0</v>
      </c>
      <c r="H201" s="89">
        <v>0</v>
      </c>
      <c r="I201" s="89">
        <v>0</v>
      </c>
      <c r="J201" s="89">
        <v>0</v>
      </c>
      <c r="K201" s="89">
        <v>0</v>
      </c>
      <c r="L201" s="89">
        <v>0</v>
      </c>
      <c r="M201" s="227">
        <v>0</v>
      </c>
      <c r="O201" s="89">
        <v>0</v>
      </c>
      <c r="P201" s="89">
        <v>0</v>
      </c>
      <c r="Q201" s="89">
        <v>0</v>
      </c>
      <c r="R201" s="89">
        <v>0</v>
      </c>
      <c r="S201" s="89">
        <v>0</v>
      </c>
      <c r="T201" s="89">
        <v>0</v>
      </c>
      <c r="U201" s="206">
        <v>0</v>
      </c>
    </row>
    <row r="202" spans="3:21" hidden="1" outlineLevel="2">
      <c r="C202" s="73" t="str">
        <v>SpareOfferA22</v>
      </c>
      <c r="D202" t="s">
        <v>302</v>
      </c>
      <c r="G202" s="89">
        <v>0</v>
      </c>
      <c r="H202" s="89">
        <v>0</v>
      </c>
      <c r="I202" s="89">
        <v>0</v>
      </c>
      <c r="J202" s="89">
        <v>0</v>
      </c>
      <c r="K202" s="89">
        <v>0</v>
      </c>
      <c r="L202" s="89">
        <v>0</v>
      </c>
      <c r="M202" s="227">
        <v>0</v>
      </c>
      <c r="O202" s="89">
        <v>0</v>
      </c>
      <c r="P202" s="89">
        <v>0</v>
      </c>
      <c r="Q202" s="89">
        <v>0</v>
      </c>
      <c r="R202" s="89">
        <v>0</v>
      </c>
      <c r="S202" s="89">
        <v>0</v>
      </c>
      <c r="T202" s="89">
        <v>0</v>
      </c>
      <c r="U202" s="206">
        <v>0</v>
      </c>
    </row>
    <row r="203" spans="3:21" hidden="1" outlineLevel="2">
      <c r="C203" s="73" t="str">
        <v>SpareOfferA23</v>
      </c>
      <c r="D203" t="s">
        <v>302</v>
      </c>
      <c r="G203" s="89">
        <v>0</v>
      </c>
      <c r="H203" s="89">
        <v>0</v>
      </c>
      <c r="I203" s="89">
        <v>0</v>
      </c>
      <c r="J203" s="89">
        <v>0</v>
      </c>
      <c r="K203" s="89">
        <v>0</v>
      </c>
      <c r="L203" s="89">
        <v>0</v>
      </c>
      <c r="M203" s="227">
        <v>0</v>
      </c>
      <c r="O203" s="89">
        <v>0</v>
      </c>
      <c r="P203" s="89">
        <v>0</v>
      </c>
      <c r="Q203" s="89">
        <v>0</v>
      </c>
      <c r="R203" s="89">
        <v>0</v>
      </c>
      <c r="S203" s="89">
        <v>0</v>
      </c>
      <c r="T203" s="89">
        <v>0</v>
      </c>
      <c r="U203" s="206">
        <v>0</v>
      </c>
    </row>
    <row r="204" spans="3:21" hidden="1" outlineLevel="2">
      <c r="C204" s="73" t="str">
        <v>SpareOfferA24</v>
      </c>
      <c r="D204" t="s">
        <v>302</v>
      </c>
      <c r="G204" s="89">
        <v>0</v>
      </c>
      <c r="H204" s="89">
        <v>0</v>
      </c>
      <c r="I204" s="89">
        <v>0</v>
      </c>
      <c r="J204" s="89">
        <v>0</v>
      </c>
      <c r="K204" s="89">
        <v>0</v>
      </c>
      <c r="L204" s="89">
        <v>0</v>
      </c>
      <c r="M204" s="227">
        <v>0</v>
      </c>
      <c r="O204" s="89">
        <v>0</v>
      </c>
      <c r="P204" s="89">
        <v>0</v>
      </c>
      <c r="Q204" s="89">
        <v>0</v>
      </c>
      <c r="R204" s="89">
        <v>0</v>
      </c>
      <c r="S204" s="89">
        <v>0</v>
      </c>
      <c r="T204" s="89">
        <v>0</v>
      </c>
      <c r="U204" s="206">
        <v>0</v>
      </c>
    </row>
    <row r="205" spans="3:21" hidden="1" outlineLevel="2">
      <c r="C205" s="73" t="str">
        <v>SpareOfferA25</v>
      </c>
      <c r="D205" t="s">
        <v>302</v>
      </c>
      <c r="G205" s="89">
        <v>0</v>
      </c>
      <c r="H205" s="89">
        <v>0</v>
      </c>
      <c r="I205" s="89">
        <v>0</v>
      </c>
      <c r="J205" s="89">
        <v>0</v>
      </c>
      <c r="K205" s="89">
        <v>0</v>
      </c>
      <c r="L205" s="89">
        <v>0</v>
      </c>
      <c r="M205" s="227">
        <v>0</v>
      </c>
      <c r="O205" s="89">
        <v>0</v>
      </c>
      <c r="P205" s="89">
        <v>0</v>
      </c>
      <c r="Q205" s="89">
        <v>0</v>
      </c>
      <c r="R205" s="89">
        <v>0</v>
      </c>
      <c r="S205" s="89">
        <v>0</v>
      </c>
      <c r="T205" s="89">
        <v>0</v>
      </c>
      <c r="U205" s="206">
        <v>0</v>
      </c>
    </row>
    <row r="206" spans="3:21" hidden="1" outlineLevel="2">
      <c r="C206" s="73" t="str">
        <v>SpareOfferA26</v>
      </c>
      <c r="D206" t="s">
        <v>302</v>
      </c>
      <c r="G206" s="89">
        <v>0</v>
      </c>
      <c r="H206" s="89">
        <v>0</v>
      </c>
      <c r="I206" s="89">
        <v>0</v>
      </c>
      <c r="J206" s="89">
        <v>0</v>
      </c>
      <c r="K206" s="89">
        <v>0</v>
      </c>
      <c r="L206" s="89">
        <v>0</v>
      </c>
      <c r="M206" s="227">
        <v>0</v>
      </c>
      <c r="O206" s="89">
        <v>0</v>
      </c>
      <c r="P206" s="89">
        <v>0</v>
      </c>
      <c r="Q206" s="89">
        <v>0</v>
      </c>
      <c r="R206" s="89">
        <v>0</v>
      </c>
      <c r="S206" s="89">
        <v>0</v>
      </c>
      <c r="T206" s="89">
        <v>0</v>
      </c>
      <c r="U206" s="206">
        <v>0</v>
      </c>
    </row>
    <row r="207" spans="3:21" hidden="1" outlineLevel="2">
      <c r="C207" s="73" t="str">
        <v>SpareOfferA27</v>
      </c>
      <c r="D207" t="s">
        <v>302</v>
      </c>
      <c r="G207" s="89">
        <v>0</v>
      </c>
      <c r="H207" s="89">
        <v>0</v>
      </c>
      <c r="I207" s="89">
        <v>0</v>
      </c>
      <c r="J207" s="89">
        <v>0</v>
      </c>
      <c r="K207" s="89">
        <v>0</v>
      </c>
      <c r="L207" s="89">
        <v>0</v>
      </c>
      <c r="M207" s="227">
        <v>0</v>
      </c>
      <c r="O207" s="89">
        <v>0</v>
      </c>
      <c r="P207" s="89">
        <v>0</v>
      </c>
      <c r="Q207" s="89">
        <v>0</v>
      </c>
      <c r="R207" s="89">
        <v>0</v>
      </c>
      <c r="S207" s="89">
        <v>0</v>
      </c>
      <c r="T207" s="89">
        <v>0</v>
      </c>
      <c r="U207" s="206">
        <v>0</v>
      </c>
    </row>
    <row r="208" spans="3:21" hidden="1" outlineLevel="2">
      <c r="C208" s="73" t="str">
        <v>SpareOfferA28</v>
      </c>
      <c r="D208" t="s">
        <v>302</v>
      </c>
      <c r="G208" s="89">
        <v>0</v>
      </c>
      <c r="H208" s="89">
        <v>0</v>
      </c>
      <c r="I208" s="89">
        <v>0</v>
      </c>
      <c r="J208" s="89">
        <v>0</v>
      </c>
      <c r="K208" s="89">
        <v>0</v>
      </c>
      <c r="L208" s="89">
        <v>0</v>
      </c>
      <c r="M208" s="227">
        <v>0</v>
      </c>
      <c r="O208" s="89">
        <v>0</v>
      </c>
      <c r="P208" s="89">
        <v>0</v>
      </c>
      <c r="Q208" s="89">
        <v>0</v>
      </c>
      <c r="R208" s="89">
        <v>0</v>
      </c>
      <c r="S208" s="89">
        <v>0</v>
      </c>
      <c r="T208" s="89">
        <v>0</v>
      </c>
      <c r="U208" s="206">
        <v>0</v>
      </c>
    </row>
    <row r="209" spans="2:21" hidden="1" outlineLevel="2">
      <c r="C209" s="73" t="str">
        <v>SpareOfferA29</v>
      </c>
      <c r="D209" t="s">
        <v>302</v>
      </c>
      <c r="G209" s="89">
        <v>0</v>
      </c>
      <c r="H209" s="89">
        <v>0</v>
      </c>
      <c r="I209" s="89">
        <v>0</v>
      </c>
      <c r="J209" s="89">
        <v>0</v>
      </c>
      <c r="K209" s="89">
        <v>0</v>
      </c>
      <c r="L209" s="89">
        <v>0</v>
      </c>
      <c r="M209" s="227">
        <v>0</v>
      </c>
      <c r="O209" s="89">
        <v>0</v>
      </c>
      <c r="P209" s="89">
        <v>0</v>
      </c>
      <c r="Q209" s="89">
        <v>0</v>
      </c>
      <c r="R209" s="89">
        <v>0</v>
      </c>
      <c r="S209" s="89">
        <v>0</v>
      </c>
      <c r="T209" s="89">
        <v>0</v>
      </c>
      <c r="U209" s="206">
        <v>0</v>
      </c>
    </row>
    <row r="210" spans="2:21" hidden="1" outlineLevel="2">
      <c r="C210" s="73" t="str">
        <v>SpareOfferA30</v>
      </c>
      <c r="D210" t="s">
        <v>302</v>
      </c>
      <c r="G210" s="89">
        <v>0</v>
      </c>
      <c r="H210" s="89">
        <v>0</v>
      </c>
      <c r="I210" s="89">
        <v>0</v>
      </c>
      <c r="J210" s="89">
        <v>0</v>
      </c>
      <c r="K210" s="89">
        <v>0</v>
      </c>
      <c r="L210" s="89">
        <v>0</v>
      </c>
      <c r="M210" s="227">
        <v>0</v>
      </c>
      <c r="O210" s="89">
        <v>0</v>
      </c>
      <c r="P210" s="89">
        <v>0</v>
      </c>
      <c r="Q210" s="89">
        <v>0</v>
      </c>
      <c r="R210" s="89">
        <v>0</v>
      </c>
      <c r="S210" s="89">
        <v>0</v>
      </c>
      <c r="T210" s="89">
        <v>0</v>
      </c>
      <c r="U210" s="206">
        <v>0</v>
      </c>
    </row>
    <row r="211" spans="2:21" hidden="1" outlineLevel="2">
      <c r="C211" s="73" t="str">
        <v>SpareOfferA31</v>
      </c>
      <c r="D211" t="s">
        <v>302</v>
      </c>
      <c r="G211" s="89">
        <v>0</v>
      </c>
      <c r="H211" s="89">
        <v>0</v>
      </c>
      <c r="I211" s="89">
        <v>0</v>
      </c>
      <c r="J211" s="89">
        <v>0</v>
      </c>
      <c r="K211" s="89">
        <v>0</v>
      </c>
      <c r="L211" s="89">
        <v>0</v>
      </c>
      <c r="M211" s="227">
        <v>0</v>
      </c>
      <c r="O211" s="89">
        <v>0</v>
      </c>
      <c r="P211" s="89">
        <v>0</v>
      </c>
      <c r="Q211" s="89">
        <v>0</v>
      </c>
      <c r="R211" s="89">
        <v>0</v>
      </c>
      <c r="S211" s="89">
        <v>0</v>
      </c>
      <c r="T211" s="89">
        <v>0</v>
      </c>
      <c r="U211" s="206">
        <v>0</v>
      </c>
    </row>
    <row r="212" spans="2:21" hidden="1" outlineLevel="2">
      <c r="C212" s="73" t="str">
        <v>SpareOfferA32</v>
      </c>
      <c r="D212" t="s">
        <v>302</v>
      </c>
      <c r="G212" s="89">
        <v>0</v>
      </c>
      <c r="H212" s="89">
        <v>0</v>
      </c>
      <c r="I212" s="89">
        <v>0</v>
      </c>
      <c r="J212" s="89">
        <v>0</v>
      </c>
      <c r="K212" s="89">
        <v>0</v>
      </c>
      <c r="L212" s="89">
        <v>0</v>
      </c>
      <c r="M212" s="227">
        <v>0</v>
      </c>
      <c r="O212" s="89">
        <v>0</v>
      </c>
      <c r="P212" s="89">
        <v>0</v>
      </c>
      <c r="Q212" s="89">
        <v>0</v>
      </c>
      <c r="R212" s="89">
        <v>0</v>
      </c>
      <c r="S212" s="89">
        <v>0</v>
      </c>
      <c r="T212" s="89">
        <v>0</v>
      </c>
      <c r="U212" s="206">
        <v>0</v>
      </c>
    </row>
    <row r="213" spans="2:21" hidden="1" outlineLevel="2">
      <c r="C213" s="73" t="str">
        <v>SpareOfferA33</v>
      </c>
      <c r="D213" t="s">
        <v>302</v>
      </c>
      <c r="G213" s="89">
        <v>0</v>
      </c>
      <c r="H213" s="89">
        <v>0</v>
      </c>
      <c r="I213" s="89">
        <v>0</v>
      </c>
      <c r="J213" s="89">
        <v>0</v>
      </c>
      <c r="K213" s="89">
        <v>0</v>
      </c>
      <c r="L213" s="89">
        <v>0</v>
      </c>
      <c r="M213" s="227">
        <v>0</v>
      </c>
      <c r="O213" s="89">
        <v>0</v>
      </c>
      <c r="P213" s="89">
        <v>0</v>
      </c>
      <c r="Q213" s="89">
        <v>0</v>
      </c>
      <c r="R213" s="89">
        <v>0</v>
      </c>
      <c r="S213" s="89">
        <v>0</v>
      </c>
      <c r="T213" s="89">
        <v>0</v>
      </c>
      <c r="U213" s="206">
        <v>0</v>
      </c>
    </row>
    <row r="214" spans="2:21" hidden="1" outlineLevel="2">
      <c r="C214" s="73" t="str">
        <v>SpareOfferA34</v>
      </c>
      <c r="D214" t="s">
        <v>302</v>
      </c>
      <c r="G214" s="89">
        <v>0</v>
      </c>
      <c r="H214" s="89">
        <v>0</v>
      </c>
      <c r="I214" s="89">
        <v>0</v>
      </c>
      <c r="J214" s="89">
        <v>0</v>
      </c>
      <c r="K214" s="89">
        <v>0</v>
      </c>
      <c r="L214" s="89">
        <v>0</v>
      </c>
      <c r="M214" s="227">
        <v>0</v>
      </c>
      <c r="O214" s="89">
        <v>0</v>
      </c>
      <c r="P214" s="89">
        <v>0</v>
      </c>
      <c r="Q214" s="89">
        <v>0</v>
      </c>
      <c r="R214" s="89">
        <v>0</v>
      </c>
      <c r="S214" s="89">
        <v>0</v>
      </c>
      <c r="T214" s="89">
        <v>0</v>
      </c>
      <c r="U214" s="206">
        <v>0</v>
      </c>
    </row>
    <row r="215" spans="2:21" outlineLevel="1" collapsed="1">
      <c r="C215" s="73" t="str">
        <v>SpareOfferA35</v>
      </c>
      <c r="D215" t="s">
        <v>302</v>
      </c>
      <c r="G215" s="89">
        <v>0</v>
      </c>
      <c r="H215" s="89">
        <v>0</v>
      </c>
      <c r="I215" s="89">
        <v>0</v>
      </c>
      <c r="J215" s="89">
        <v>0</v>
      </c>
      <c r="K215" s="89">
        <v>0</v>
      </c>
      <c r="L215" s="89">
        <v>0</v>
      </c>
      <c r="M215" s="227">
        <v>0</v>
      </c>
      <c r="O215" s="89">
        <v>0</v>
      </c>
      <c r="P215" s="89">
        <v>0</v>
      </c>
      <c r="Q215" s="89">
        <v>0</v>
      </c>
      <c r="R215" s="89">
        <v>0</v>
      </c>
      <c r="S215" s="89">
        <v>0</v>
      </c>
      <c r="T215" s="89">
        <v>0</v>
      </c>
      <c r="U215" s="206">
        <v>0</v>
      </c>
    </row>
    <row r="216" spans="2:21" outlineLevel="1"/>
    <row r="217" spans="2:21" outlineLevel="1">
      <c r="G217">
        <f t="shared" ref="G217:O217" si="7">MATCH(G218,wholesale.data.tiers,0)</f>
        <v>1</v>
      </c>
      <c r="H217">
        <f t="shared" si="7"/>
        <v>2</v>
      </c>
      <c r="I217">
        <f t="shared" si="7"/>
        <v>3</v>
      </c>
      <c r="J217">
        <f t="shared" si="7"/>
        <v>4</v>
      </c>
      <c r="K217">
        <f t="shared" si="7"/>
        <v>5</v>
      </c>
      <c r="L217">
        <f t="shared" si="7"/>
        <v>6</v>
      </c>
      <c r="M217">
        <f t="shared" si="7"/>
        <v>7</v>
      </c>
      <c r="N217">
        <f t="shared" si="7"/>
        <v>8</v>
      </c>
      <c r="O217">
        <f t="shared" si="7"/>
        <v>9</v>
      </c>
    </row>
    <row r="218" spans="2:21" ht="23" outlineLevel="1">
      <c r="C218" s="35" t="s">
        <v>303</v>
      </c>
      <c r="F218" s="104" t="s">
        <v>89</v>
      </c>
      <c r="G218" s="95" t="str">
        <f t="array" ref="G218:O218">TRANSPOSE(wholesale.data.tiers)</f>
        <v>W/S spare tier 1</v>
      </c>
      <c r="H218" s="95" t="str">
        <v>W/S spare tier 2</v>
      </c>
      <c r="I218" s="95" t="str">
        <v>W/S spare tier 3</v>
      </c>
      <c r="J218" s="95" t="str">
        <v>W/S spare tier 4</v>
      </c>
      <c r="K218" s="95" t="str">
        <v>W/S spare tier 5</v>
      </c>
      <c r="L218" s="95" t="str">
        <v>W/S spare tier 6</v>
      </c>
      <c r="M218" s="95" t="str">
        <v>W/S spare tier 7</v>
      </c>
      <c r="N218" s="95" t="str">
        <v>W/S spare tier 8</v>
      </c>
      <c r="O218" s="95" t="str">
        <v>W/S spare tier 9</v>
      </c>
    </row>
    <row r="219" spans="2:21" outlineLevel="1">
      <c r="C219" s="91" t="s">
        <v>89</v>
      </c>
      <c r="D219" t="s">
        <v>304</v>
      </c>
      <c r="F219" s="114">
        <f>SUMPRODUCT(F220:F254,subscription.split.segment.1)</f>
        <v>0</v>
      </c>
      <c r="G219" s="114">
        <f t="shared" ref="G219:I219" si="8">SUMPRODUCT(G220:G254,subscription.split.segment.1)</f>
        <v>0</v>
      </c>
      <c r="H219" s="114">
        <f t="shared" si="8"/>
        <v>0</v>
      </c>
      <c r="I219" s="114">
        <f t="shared" si="8"/>
        <v>0</v>
      </c>
      <c r="J219" s="114">
        <f t="shared" ref="J219:O219" si="9">SUMPRODUCT(J220:J254,subscription.split.segment.1)</f>
        <v>0</v>
      </c>
      <c r="K219" s="114">
        <f t="shared" si="9"/>
        <v>0</v>
      </c>
      <c r="L219" s="114">
        <f t="shared" si="9"/>
        <v>0</v>
      </c>
      <c r="M219" s="114">
        <f t="shared" si="9"/>
        <v>0</v>
      </c>
      <c r="N219" s="114">
        <f t="shared" si="9"/>
        <v>0</v>
      </c>
      <c r="O219" s="114">
        <f t="shared" si="9"/>
        <v>0</v>
      </c>
    </row>
    <row r="220" spans="2:21" outlineLevel="1">
      <c r="B220">
        <f t="shared" ref="B220:B254" si="10">MATCH(C220,offers.segment.all,0)</f>
        <v>1</v>
      </c>
      <c r="C220" s="73" t="str">
        <f t="array" ref="C220:C254">offers.segment.1</f>
        <v>SpareOfferA1</v>
      </c>
      <c r="D220" t="s">
        <v>304</v>
      </c>
      <c r="F220" s="89">
        <f t="array" ref="F220:F254">data.per.month.segment.1</f>
        <v>0</v>
      </c>
      <c r="G220" s="124">
        <f t="shared" ref="G220:O229" si="11">INDEX(distribution.data.wholesale.tier,$B220,G$217)*$F220</f>
        <v>0</v>
      </c>
      <c r="H220" s="124">
        <f t="shared" si="11"/>
        <v>0</v>
      </c>
      <c r="I220" s="124">
        <f t="shared" si="11"/>
        <v>0</v>
      </c>
      <c r="J220" s="124">
        <f t="shared" si="11"/>
        <v>0</v>
      </c>
      <c r="K220" s="124">
        <f t="shared" si="11"/>
        <v>0</v>
      </c>
      <c r="L220" s="124">
        <f t="shared" si="11"/>
        <v>0</v>
      </c>
      <c r="M220" s="124">
        <f t="shared" si="11"/>
        <v>0</v>
      </c>
      <c r="N220" s="124">
        <f t="shared" si="11"/>
        <v>0</v>
      </c>
      <c r="O220" s="124">
        <f t="shared" si="11"/>
        <v>0</v>
      </c>
    </row>
    <row r="221" spans="2:21" hidden="1" outlineLevel="2">
      <c r="B221">
        <f t="shared" si="10"/>
        <v>2</v>
      </c>
      <c r="C221" s="73" t="str">
        <v>SpareOfferA2</v>
      </c>
      <c r="D221" t="s">
        <v>304</v>
      </c>
      <c r="F221" s="89">
        <v>0</v>
      </c>
      <c r="G221" s="124">
        <f t="shared" si="11"/>
        <v>0</v>
      </c>
      <c r="H221" s="124">
        <f t="shared" si="11"/>
        <v>0</v>
      </c>
      <c r="I221" s="124">
        <f t="shared" si="11"/>
        <v>0</v>
      </c>
      <c r="J221" s="124">
        <f t="shared" si="11"/>
        <v>0</v>
      </c>
      <c r="K221" s="124">
        <f t="shared" si="11"/>
        <v>0</v>
      </c>
      <c r="L221" s="124">
        <f t="shared" si="11"/>
        <v>0</v>
      </c>
      <c r="M221" s="124">
        <f t="shared" si="11"/>
        <v>0</v>
      </c>
      <c r="N221" s="124">
        <f t="shared" si="11"/>
        <v>0</v>
      </c>
      <c r="O221" s="124">
        <f t="shared" si="11"/>
        <v>0</v>
      </c>
    </row>
    <row r="222" spans="2:21" hidden="1" outlineLevel="2">
      <c r="B222">
        <f t="shared" si="10"/>
        <v>3</v>
      </c>
      <c r="C222" s="73" t="str">
        <v>SpareOfferA3</v>
      </c>
      <c r="D222" t="s">
        <v>304</v>
      </c>
      <c r="F222" s="89">
        <v>0</v>
      </c>
      <c r="G222" s="124">
        <f t="shared" si="11"/>
        <v>0</v>
      </c>
      <c r="H222" s="124">
        <f t="shared" si="11"/>
        <v>0</v>
      </c>
      <c r="I222" s="124">
        <f t="shared" si="11"/>
        <v>0</v>
      </c>
      <c r="J222" s="124">
        <f t="shared" si="11"/>
        <v>0</v>
      </c>
      <c r="K222" s="124">
        <f t="shared" si="11"/>
        <v>0</v>
      </c>
      <c r="L222" s="124">
        <f t="shared" si="11"/>
        <v>0</v>
      </c>
      <c r="M222" s="124">
        <f t="shared" si="11"/>
        <v>0</v>
      </c>
      <c r="N222" s="124">
        <f t="shared" si="11"/>
        <v>0</v>
      </c>
      <c r="O222" s="124">
        <f t="shared" si="11"/>
        <v>0</v>
      </c>
    </row>
    <row r="223" spans="2:21" hidden="1" outlineLevel="2">
      <c r="B223">
        <f t="shared" si="10"/>
        <v>4</v>
      </c>
      <c r="C223" s="73" t="str">
        <v>SpareOfferA4</v>
      </c>
      <c r="D223" t="s">
        <v>304</v>
      </c>
      <c r="F223" s="89">
        <v>0</v>
      </c>
      <c r="G223" s="124">
        <f t="shared" si="11"/>
        <v>0</v>
      </c>
      <c r="H223" s="124">
        <f t="shared" si="11"/>
        <v>0</v>
      </c>
      <c r="I223" s="124">
        <f t="shared" si="11"/>
        <v>0</v>
      </c>
      <c r="J223" s="124">
        <f t="shared" si="11"/>
        <v>0</v>
      </c>
      <c r="K223" s="124">
        <f t="shared" si="11"/>
        <v>0</v>
      </c>
      <c r="L223" s="124">
        <f t="shared" si="11"/>
        <v>0</v>
      </c>
      <c r="M223" s="124">
        <f t="shared" si="11"/>
        <v>0</v>
      </c>
      <c r="N223" s="124">
        <f t="shared" si="11"/>
        <v>0</v>
      </c>
      <c r="O223" s="124">
        <f t="shared" si="11"/>
        <v>0</v>
      </c>
    </row>
    <row r="224" spans="2:21" hidden="1" outlineLevel="2">
      <c r="B224">
        <f t="shared" si="10"/>
        <v>5</v>
      </c>
      <c r="C224" s="73" t="str">
        <v>SpareOfferA5</v>
      </c>
      <c r="D224" t="s">
        <v>304</v>
      </c>
      <c r="F224" s="89">
        <v>0</v>
      </c>
      <c r="G224" s="124">
        <f t="shared" si="11"/>
        <v>0</v>
      </c>
      <c r="H224" s="124">
        <f t="shared" si="11"/>
        <v>0</v>
      </c>
      <c r="I224" s="124">
        <f t="shared" si="11"/>
        <v>0</v>
      </c>
      <c r="J224" s="124">
        <f t="shared" si="11"/>
        <v>0</v>
      </c>
      <c r="K224" s="124">
        <f t="shared" si="11"/>
        <v>0</v>
      </c>
      <c r="L224" s="124">
        <f t="shared" si="11"/>
        <v>0</v>
      </c>
      <c r="M224" s="124">
        <f t="shared" si="11"/>
        <v>0</v>
      </c>
      <c r="N224" s="124">
        <f t="shared" si="11"/>
        <v>0</v>
      </c>
      <c r="O224" s="124">
        <f t="shared" si="11"/>
        <v>0</v>
      </c>
    </row>
    <row r="225" spans="2:15" hidden="1" outlineLevel="2">
      <c r="B225">
        <f t="shared" si="10"/>
        <v>6</v>
      </c>
      <c r="C225" s="73" t="str">
        <v>SpareOfferA6</v>
      </c>
      <c r="D225" t="s">
        <v>304</v>
      </c>
      <c r="F225" s="89">
        <v>0</v>
      </c>
      <c r="G225" s="124">
        <f t="shared" si="11"/>
        <v>0</v>
      </c>
      <c r="H225" s="124">
        <f t="shared" si="11"/>
        <v>0</v>
      </c>
      <c r="I225" s="124">
        <f t="shared" si="11"/>
        <v>0</v>
      </c>
      <c r="J225" s="124">
        <f t="shared" si="11"/>
        <v>0</v>
      </c>
      <c r="K225" s="124">
        <f t="shared" si="11"/>
        <v>0</v>
      </c>
      <c r="L225" s="124">
        <f t="shared" si="11"/>
        <v>0</v>
      </c>
      <c r="M225" s="124">
        <f t="shared" si="11"/>
        <v>0</v>
      </c>
      <c r="N225" s="124">
        <f t="shared" si="11"/>
        <v>0</v>
      </c>
      <c r="O225" s="124">
        <f t="shared" si="11"/>
        <v>0</v>
      </c>
    </row>
    <row r="226" spans="2:15" hidden="1" outlineLevel="2">
      <c r="B226">
        <f t="shared" si="10"/>
        <v>7</v>
      </c>
      <c r="C226" s="73" t="str">
        <v>SpareOfferA7</v>
      </c>
      <c r="D226" t="s">
        <v>304</v>
      </c>
      <c r="F226" s="89">
        <v>0</v>
      </c>
      <c r="G226" s="124">
        <f t="shared" si="11"/>
        <v>0</v>
      </c>
      <c r="H226" s="124">
        <f t="shared" si="11"/>
        <v>0</v>
      </c>
      <c r="I226" s="124">
        <f t="shared" si="11"/>
        <v>0</v>
      </c>
      <c r="J226" s="124">
        <f t="shared" si="11"/>
        <v>0</v>
      </c>
      <c r="K226" s="124">
        <f t="shared" si="11"/>
        <v>0</v>
      </c>
      <c r="L226" s="124">
        <f t="shared" si="11"/>
        <v>0</v>
      </c>
      <c r="M226" s="124">
        <f t="shared" si="11"/>
        <v>0</v>
      </c>
      <c r="N226" s="124">
        <f t="shared" si="11"/>
        <v>0</v>
      </c>
      <c r="O226" s="124">
        <f t="shared" si="11"/>
        <v>0</v>
      </c>
    </row>
    <row r="227" spans="2:15" hidden="1" outlineLevel="2">
      <c r="B227">
        <f t="shared" si="10"/>
        <v>8</v>
      </c>
      <c r="C227" s="73" t="str">
        <v>SpareOfferA8</v>
      </c>
      <c r="D227" t="s">
        <v>304</v>
      </c>
      <c r="F227" s="89">
        <v>0</v>
      </c>
      <c r="G227" s="124">
        <f t="shared" si="11"/>
        <v>0</v>
      </c>
      <c r="H227" s="124">
        <f t="shared" si="11"/>
        <v>0</v>
      </c>
      <c r="I227" s="124">
        <f t="shared" si="11"/>
        <v>0</v>
      </c>
      <c r="J227" s="124">
        <f t="shared" si="11"/>
        <v>0</v>
      </c>
      <c r="K227" s="124">
        <f t="shared" si="11"/>
        <v>0</v>
      </c>
      <c r="L227" s="124">
        <f t="shared" si="11"/>
        <v>0</v>
      </c>
      <c r="M227" s="124">
        <f t="shared" si="11"/>
        <v>0</v>
      </c>
      <c r="N227" s="124">
        <f t="shared" si="11"/>
        <v>0</v>
      </c>
      <c r="O227" s="124">
        <f t="shared" si="11"/>
        <v>0</v>
      </c>
    </row>
    <row r="228" spans="2:15" hidden="1" outlineLevel="2">
      <c r="B228">
        <f t="shared" si="10"/>
        <v>9</v>
      </c>
      <c r="C228" s="73" t="str">
        <v>SpareOfferA9</v>
      </c>
      <c r="D228" t="s">
        <v>304</v>
      </c>
      <c r="F228" s="89">
        <v>0</v>
      </c>
      <c r="G228" s="124">
        <f t="shared" si="11"/>
        <v>0</v>
      </c>
      <c r="H228" s="124">
        <f t="shared" si="11"/>
        <v>0</v>
      </c>
      <c r="I228" s="124">
        <f t="shared" si="11"/>
        <v>0</v>
      </c>
      <c r="J228" s="124">
        <f t="shared" si="11"/>
        <v>0</v>
      </c>
      <c r="K228" s="124">
        <f t="shared" si="11"/>
        <v>0</v>
      </c>
      <c r="L228" s="124">
        <f t="shared" si="11"/>
        <v>0</v>
      </c>
      <c r="M228" s="124">
        <f t="shared" si="11"/>
        <v>0</v>
      </c>
      <c r="N228" s="124">
        <f t="shared" si="11"/>
        <v>0</v>
      </c>
      <c r="O228" s="124">
        <f t="shared" si="11"/>
        <v>0</v>
      </c>
    </row>
    <row r="229" spans="2:15" hidden="1" outlineLevel="2">
      <c r="B229">
        <f t="shared" si="10"/>
        <v>10</v>
      </c>
      <c r="C229" s="73" t="str">
        <v>SpareOfferA10</v>
      </c>
      <c r="D229" t="s">
        <v>304</v>
      </c>
      <c r="F229" s="89">
        <v>0</v>
      </c>
      <c r="G229" s="124">
        <f t="shared" si="11"/>
        <v>0</v>
      </c>
      <c r="H229" s="124">
        <f t="shared" si="11"/>
        <v>0</v>
      </c>
      <c r="I229" s="124">
        <f t="shared" si="11"/>
        <v>0</v>
      </c>
      <c r="J229" s="124">
        <f t="shared" si="11"/>
        <v>0</v>
      </c>
      <c r="K229" s="124">
        <f t="shared" si="11"/>
        <v>0</v>
      </c>
      <c r="L229" s="124">
        <f t="shared" si="11"/>
        <v>0</v>
      </c>
      <c r="M229" s="124">
        <f t="shared" si="11"/>
        <v>0</v>
      </c>
      <c r="N229" s="124">
        <f t="shared" si="11"/>
        <v>0</v>
      </c>
      <c r="O229" s="124">
        <f t="shared" si="11"/>
        <v>0</v>
      </c>
    </row>
    <row r="230" spans="2:15" hidden="1" outlineLevel="2">
      <c r="B230">
        <f t="shared" si="10"/>
        <v>11</v>
      </c>
      <c r="C230" s="73" t="str">
        <v>SpareOfferA11</v>
      </c>
      <c r="D230" t="s">
        <v>304</v>
      </c>
      <c r="F230" s="89">
        <v>0</v>
      </c>
      <c r="G230" s="124">
        <f t="shared" ref="G230:O239" si="12">INDEX(distribution.data.wholesale.tier,$B230,G$217)*$F230</f>
        <v>0</v>
      </c>
      <c r="H230" s="124">
        <f t="shared" si="12"/>
        <v>0</v>
      </c>
      <c r="I230" s="124">
        <f t="shared" si="12"/>
        <v>0</v>
      </c>
      <c r="J230" s="124">
        <f t="shared" si="12"/>
        <v>0</v>
      </c>
      <c r="K230" s="124">
        <f t="shared" si="12"/>
        <v>0</v>
      </c>
      <c r="L230" s="124">
        <f t="shared" si="12"/>
        <v>0</v>
      </c>
      <c r="M230" s="124">
        <f t="shared" si="12"/>
        <v>0</v>
      </c>
      <c r="N230" s="124">
        <f t="shared" si="12"/>
        <v>0</v>
      </c>
      <c r="O230" s="124">
        <f t="shared" si="12"/>
        <v>0</v>
      </c>
    </row>
    <row r="231" spans="2:15" hidden="1" outlineLevel="2">
      <c r="B231">
        <f t="shared" si="10"/>
        <v>12</v>
      </c>
      <c r="C231" s="73" t="str">
        <v>SpareOfferA12</v>
      </c>
      <c r="D231" t="s">
        <v>304</v>
      </c>
      <c r="F231" s="89">
        <v>0</v>
      </c>
      <c r="G231" s="124">
        <f t="shared" si="12"/>
        <v>0</v>
      </c>
      <c r="H231" s="124">
        <f t="shared" si="12"/>
        <v>0</v>
      </c>
      <c r="I231" s="124">
        <f t="shared" si="12"/>
        <v>0</v>
      </c>
      <c r="J231" s="124">
        <f t="shared" si="12"/>
        <v>0</v>
      </c>
      <c r="K231" s="124">
        <f t="shared" si="12"/>
        <v>0</v>
      </c>
      <c r="L231" s="124">
        <f t="shared" si="12"/>
        <v>0</v>
      </c>
      <c r="M231" s="124">
        <f t="shared" si="12"/>
        <v>0</v>
      </c>
      <c r="N231" s="124">
        <f t="shared" si="12"/>
        <v>0</v>
      </c>
      <c r="O231" s="124">
        <f t="shared" si="12"/>
        <v>0</v>
      </c>
    </row>
    <row r="232" spans="2:15" hidden="1" outlineLevel="2">
      <c r="B232">
        <f t="shared" si="10"/>
        <v>13</v>
      </c>
      <c r="C232" s="73" t="str">
        <v>SpareOfferA13</v>
      </c>
      <c r="D232" t="s">
        <v>304</v>
      </c>
      <c r="F232" s="89">
        <v>0</v>
      </c>
      <c r="G232" s="124">
        <f t="shared" si="12"/>
        <v>0</v>
      </c>
      <c r="H232" s="124">
        <f t="shared" si="12"/>
        <v>0</v>
      </c>
      <c r="I232" s="124">
        <f t="shared" si="12"/>
        <v>0</v>
      </c>
      <c r="J232" s="124">
        <f t="shared" si="12"/>
        <v>0</v>
      </c>
      <c r="K232" s="124">
        <f t="shared" si="12"/>
        <v>0</v>
      </c>
      <c r="L232" s="124">
        <f t="shared" si="12"/>
        <v>0</v>
      </c>
      <c r="M232" s="124">
        <f t="shared" si="12"/>
        <v>0</v>
      </c>
      <c r="N232" s="124">
        <f t="shared" si="12"/>
        <v>0</v>
      </c>
      <c r="O232" s="124">
        <f t="shared" si="12"/>
        <v>0</v>
      </c>
    </row>
    <row r="233" spans="2:15" hidden="1" outlineLevel="2">
      <c r="B233">
        <f t="shared" si="10"/>
        <v>14</v>
      </c>
      <c r="C233" s="73" t="str">
        <v>SpareOfferA14</v>
      </c>
      <c r="D233" t="s">
        <v>304</v>
      </c>
      <c r="F233" s="89">
        <v>0</v>
      </c>
      <c r="G233" s="124">
        <f t="shared" si="12"/>
        <v>0</v>
      </c>
      <c r="H233" s="124">
        <f t="shared" si="12"/>
        <v>0</v>
      </c>
      <c r="I233" s="124">
        <f t="shared" si="12"/>
        <v>0</v>
      </c>
      <c r="J233" s="124">
        <f t="shared" si="12"/>
        <v>0</v>
      </c>
      <c r="K233" s="124">
        <f t="shared" si="12"/>
        <v>0</v>
      </c>
      <c r="L233" s="124">
        <f t="shared" si="12"/>
        <v>0</v>
      </c>
      <c r="M233" s="124">
        <f t="shared" si="12"/>
        <v>0</v>
      </c>
      <c r="N233" s="124">
        <f t="shared" si="12"/>
        <v>0</v>
      </c>
      <c r="O233" s="124">
        <f t="shared" si="12"/>
        <v>0</v>
      </c>
    </row>
    <row r="234" spans="2:15" hidden="1" outlineLevel="2">
      <c r="B234">
        <f t="shared" si="10"/>
        <v>15</v>
      </c>
      <c r="C234" s="73" t="str">
        <v>SpareOfferA15</v>
      </c>
      <c r="D234" t="s">
        <v>304</v>
      </c>
      <c r="F234" s="89">
        <v>0</v>
      </c>
      <c r="G234" s="124">
        <f t="shared" si="12"/>
        <v>0</v>
      </c>
      <c r="H234" s="124">
        <f t="shared" si="12"/>
        <v>0</v>
      </c>
      <c r="I234" s="124">
        <f t="shared" si="12"/>
        <v>0</v>
      </c>
      <c r="J234" s="124">
        <f t="shared" si="12"/>
        <v>0</v>
      </c>
      <c r="K234" s="124">
        <f t="shared" si="12"/>
        <v>0</v>
      </c>
      <c r="L234" s="124">
        <f t="shared" si="12"/>
        <v>0</v>
      </c>
      <c r="M234" s="124">
        <f t="shared" si="12"/>
        <v>0</v>
      </c>
      <c r="N234" s="124">
        <f t="shared" si="12"/>
        <v>0</v>
      </c>
      <c r="O234" s="124">
        <f t="shared" si="12"/>
        <v>0</v>
      </c>
    </row>
    <row r="235" spans="2:15" hidden="1" outlineLevel="2">
      <c r="B235">
        <f t="shared" si="10"/>
        <v>16</v>
      </c>
      <c r="C235" s="73" t="str">
        <v>SpareOfferA16</v>
      </c>
      <c r="D235" t="s">
        <v>304</v>
      </c>
      <c r="F235" s="89">
        <v>0</v>
      </c>
      <c r="G235" s="124">
        <f t="shared" si="12"/>
        <v>0</v>
      </c>
      <c r="H235" s="124">
        <f t="shared" si="12"/>
        <v>0</v>
      </c>
      <c r="I235" s="124">
        <f t="shared" si="12"/>
        <v>0</v>
      </c>
      <c r="J235" s="124">
        <f t="shared" si="12"/>
        <v>0</v>
      </c>
      <c r="K235" s="124">
        <f t="shared" si="12"/>
        <v>0</v>
      </c>
      <c r="L235" s="124">
        <f t="shared" si="12"/>
        <v>0</v>
      </c>
      <c r="M235" s="124">
        <f t="shared" si="12"/>
        <v>0</v>
      </c>
      <c r="N235" s="124">
        <f t="shared" si="12"/>
        <v>0</v>
      </c>
      <c r="O235" s="124">
        <f t="shared" si="12"/>
        <v>0</v>
      </c>
    </row>
    <row r="236" spans="2:15" hidden="1" outlineLevel="2">
      <c r="B236">
        <f t="shared" si="10"/>
        <v>17</v>
      </c>
      <c r="C236" s="73" t="str">
        <v>SpareOfferA17</v>
      </c>
      <c r="D236" t="s">
        <v>304</v>
      </c>
      <c r="F236" s="89">
        <v>0</v>
      </c>
      <c r="G236" s="124">
        <f t="shared" si="12"/>
        <v>0</v>
      </c>
      <c r="H236" s="124">
        <f t="shared" si="12"/>
        <v>0</v>
      </c>
      <c r="I236" s="124">
        <f t="shared" si="12"/>
        <v>0</v>
      </c>
      <c r="J236" s="124">
        <f t="shared" si="12"/>
        <v>0</v>
      </c>
      <c r="K236" s="124">
        <f t="shared" si="12"/>
        <v>0</v>
      </c>
      <c r="L236" s="124">
        <f t="shared" si="12"/>
        <v>0</v>
      </c>
      <c r="M236" s="124">
        <f t="shared" si="12"/>
        <v>0</v>
      </c>
      <c r="N236" s="124">
        <f t="shared" si="12"/>
        <v>0</v>
      </c>
      <c r="O236" s="124">
        <f t="shared" si="12"/>
        <v>0</v>
      </c>
    </row>
    <row r="237" spans="2:15" hidden="1" outlineLevel="2">
      <c r="B237">
        <f t="shared" si="10"/>
        <v>18</v>
      </c>
      <c r="C237" s="73" t="str">
        <v>SpareOfferA18</v>
      </c>
      <c r="D237" t="s">
        <v>304</v>
      </c>
      <c r="F237" s="89">
        <v>0</v>
      </c>
      <c r="G237" s="124">
        <f t="shared" si="12"/>
        <v>0</v>
      </c>
      <c r="H237" s="124">
        <f t="shared" si="12"/>
        <v>0</v>
      </c>
      <c r="I237" s="124">
        <f t="shared" si="12"/>
        <v>0</v>
      </c>
      <c r="J237" s="124">
        <f t="shared" si="12"/>
        <v>0</v>
      </c>
      <c r="K237" s="124">
        <f t="shared" si="12"/>
        <v>0</v>
      </c>
      <c r="L237" s="124">
        <f t="shared" si="12"/>
        <v>0</v>
      </c>
      <c r="M237" s="124">
        <f t="shared" si="12"/>
        <v>0</v>
      </c>
      <c r="N237" s="124">
        <f t="shared" si="12"/>
        <v>0</v>
      </c>
      <c r="O237" s="124">
        <f t="shared" si="12"/>
        <v>0</v>
      </c>
    </row>
    <row r="238" spans="2:15" hidden="1" outlineLevel="2">
      <c r="B238">
        <f t="shared" si="10"/>
        <v>19</v>
      </c>
      <c r="C238" s="73" t="str">
        <v>SpareOfferA19</v>
      </c>
      <c r="D238" t="s">
        <v>304</v>
      </c>
      <c r="F238" s="89">
        <v>0</v>
      </c>
      <c r="G238" s="124">
        <f t="shared" si="12"/>
        <v>0</v>
      </c>
      <c r="H238" s="124">
        <f t="shared" si="12"/>
        <v>0</v>
      </c>
      <c r="I238" s="124">
        <f t="shared" si="12"/>
        <v>0</v>
      </c>
      <c r="J238" s="124">
        <f t="shared" si="12"/>
        <v>0</v>
      </c>
      <c r="K238" s="124">
        <f t="shared" si="12"/>
        <v>0</v>
      </c>
      <c r="L238" s="124">
        <f t="shared" si="12"/>
        <v>0</v>
      </c>
      <c r="M238" s="124">
        <f t="shared" si="12"/>
        <v>0</v>
      </c>
      <c r="N238" s="124">
        <f t="shared" si="12"/>
        <v>0</v>
      </c>
      <c r="O238" s="124">
        <f t="shared" si="12"/>
        <v>0</v>
      </c>
    </row>
    <row r="239" spans="2:15" hidden="1" outlineLevel="2">
      <c r="B239">
        <f t="shared" si="10"/>
        <v>20</v>
      </c>
      <c r="C239" s="73" t="str">
        <v>SpareOfferA20</v>
      </c>
      <c r="D239" t="s">
        <v>304</v>
      </c>
      <c r="F239" s="89">
        <v>0</v>
      </c>
      <c r="G239" s="124">
        <f t="shared" si="12"/>
        <v>0</v>
      </c>
      <c r="H239" s="124">
        <f t="shared" si="12"/>
        <v>0</v>
      </c>
      <c r="I239" s="124">
        <f t="shared" si="12"/>
        <v>0</v>
      </c>
      <c r="J239" s="124">
        <f t="shared" si="12"/>
        <v>0</v>
      </c>
      <c r="K239" s="124">
        <f t="shared" si="12"/>
        <v>0</v>
      </c>
      <c r="L239" s="124">
        <f t="shared" si="12"/>
        <v>0</v>
      </c>
      <c r="M239" s="124">
        <f t="shared" si="12"/>
        <v>0</v>
      </c>
      <c r="N239" s="124">
        <f t="shared" si="12"/>
        <v>0</v>
      </c>
      <c r="O239" s="124">
        <f t="shared" si="12"/>
        <v>0</v>
      </c>
    </row>
    <row r="240" spans="2:15" hidden="1" outlineLevel="2">
      <c r="B240">
        <f t="shared" si="10"/>
        <v>21</v>
      </c>
      <c r="C240" s="73" t="str">
        <v>SpareOfferA21</v>
      </c>
      <c r="D240" t="s">
        <v>304</v>
      </c>
      <c r="F240" s="89">
        <v>0</v>
      </c>
      <c r="G240" s="124">
        <f t="shared" ref="G240:O254" si="13">INDEX(distribution.data.wholesale.tier,$B240,G$217)*$F240</f>
        <v>0</v>
      </c>
      <c r="H240" s="124">
        <f t="shared" si="13"/>
        <v>0</v>
      </c>
      <c r="I240" s="124">
        <f t="shared" si="13"/>
        <v>0</v>
      </c>
      <c r="J240" s="124">
        <f t="shared" si="13"/>
        <v>0</v>
      </c>
      <c r="K240" s="124">
        <f t="shared" si="13"/>
        <v>0</v>
      </c>
      <c r="L240" s="124">
        <f t="shared" si="13"/>
        <v>0</v>
      </c>
      <c r="M240" s="124">
        <f t="shared" si="13"/>
        <v>0</v>
      </c>
      <c r="N240" s="124">
        <f t="shared" si="13"/>
        <v>0</v>
      </c>
      <c r="O240" s="124">
        <f t="shared" si="13"/>
        <v>0</v>
      </c>
    </row>
    <row r="241" spans="2:15" hidden="1" outlineLevel="2">
      <c r="B241">
        <f t="shared" si="10"/>
        <v>22</v>
      </c>
      <c r="C241" s="73" t="str">
        <v>SpareOfferA22</v>
      </c>
      <c r="D241" t="s">
        <v>304</v>
      </c>
      <c r="F241" s="89">
        <v>0</v>
      </c>
      <c r="G241" s="124">
        <f t="shared" si="13"/>
        <v>0</v>
      </c>
      <c r="H241" s="124">
        <f t="shared" si="13"/>
        <v>0</v>
      </c>
      <c r="I241" s="124">
        <f t="shared" si="13"/>
        <v>0</v>
      </c>
      <c r="J241" s="124">
        <f t="shared" si="13"/>
        <v>0</v>
      </c>
      <c r="K241" s="124">
        <f t="shared" si="13"/>
        <v>0</v>
      </c>
      <c r="L241" s="124">
        <f t="shared" si="13"/>
        <v>0</v>
      </c>
      <c r="M241" s="124">
        <f t="shared" si="13"/>
        <v>0</v>
      </c>
      <c r="N241" s="124">
        <f t="shared" si="13"/>
        <v>0</v>
      </c>
      <c r="O241" s="124">
        <f t="shared" si="13"/>
        <v>0</v>
      </c>
    </row>
    <row r="242" spans="2:15" hidden="1" outlineLevel="2">
      <c r="B242">
        <f t="shared" si="10"/>
        <v>23</v>
      </c>
      <c r="C242" s="73" t="str">
        <v>SpareOfferA23</v>
      </c>
      <c r="D242" t="s">
        <v>304</v>
      </c>
      <c r="F242" s="89">
        <v>0</v>
      </c>
      <c r="G242" s="124">
        <f t="shared" si="13"/>
        <v>0</v>
      </c>
      <c r="H242" s="124">
        <f t="shared" si="13"/>
        <v>0</v>
      </c>
      <c r="I242" s="124">
        <f t="shared" si="13"/>
        <v>0</v>
      </c>
      <c r="J242" s="124">
        <f t="shared" si="13"/>
        <v>0</v>
      </c>
      <c r="K242" s="124">
        <f t="shared" si="13"/>
        <v>0</v>
      </c>
      <c r="L242" s="124">
        <f t="shared" si="13"/>
        <v>0</v>
      </c>
      <c r="M242" s="124">
        <f t="shared" si="13"/>
        <v>0</v>
      </c>
      <c r="N242" s="124">
        <f t="shared" si="13"/>
        <v>0</v>
      </c>
      <c r="O242" s="124">
        <f t="shared" si="13"/>
        <v>0</v>
      </c>
    </row>
    <row r="243" spans="2:15" hidden="1" outlineLevel="2">
      <c r="B243">
        <f t="shared" si="10"/>
        <v>24</v>
      </c>
      <c r="C243" s="73" t="str">
        <v>SpareOfferA24</v>
      </c>
      <c r="D243" t="s">
        <v>304</v>
      </c>
      <c r="F243" s="89">
        <v>0</v>
      </c>
      <c r="G243" s="124">
        <f t="shared" si="13"/>
        <v>0</v>
      </c>
      <c r="H243" s="124">
        <f t="shared" si="13"/>
        <v>0</v>
      </c>
      <c r="I243" s="124">
        <f t="shared" si="13"/>
        <v>0</v>
      </c>
      <c r="J243" s="124">
        <f t="shared" si="13"/>
        <v>0</v>
      </c>
      <c r="K243" s="124">
        <f t="shared" si="13"/>
        <v>0</v>
      </c>
      <c r="L243" s="124">
        <f t="shared" si="13"/>
        <v>0</v>
      </c>
      <c r="M243" s="124">
        <f t="shared" si="13"/>
        <v>0</v>
      </c>
      <c r="N243" s="124">
        <f t="shared" si="13"/>
        <v>0</v>
      </c>
      <c r="O243" s="124">
        <f t="shared" si="13"/>
        <v>0</v>
      </c>
    </row>
    <row r="244" spans="2:15" hidden="1" outlineLevel="2">
      <c r="B244">
        <f t="shared" si="10"/>
        <v>25</v>
      </c>
      <c r="C244" s="73" t="str">
        <v>SpareOfferA25</v>
      </c>
      <c r="D244" t="s">
        <v>304</v>
      </c>
      <c r="F244" s="89">
        <v>0</v>
      </c>
      <c r="G244" s="124">
        <f t="shared" si="13"/>
        <v>0</v>
      </c>
      <c r="H244" s="124">
        <f t="shared" si="13"/>
        <v>0</v>
      </c>
      <c r="I244" s="124">
        <f t="shared" si="13"/>
        <v>0</v>
      </c>
      <c r="J244" s="124">
        <f t="shared" si="13"/>
        <v>0</v>
      </c>
      <c r="K244" s="124">
        <f t="shared" si="13"/>
        <v>0</v>
      </c>
      <c r="L244" s="124">
        <f t="shared" si="13"/>
        <v>0</v>
      </c>
      <c r="M244" s="124">
        <f t="shared" si="13"/>
        <v>0</v>
      </c>
      <c r="N244" s="124">
        <f t="shared" si="13"/>
        <v>0</v>
      </c>
      <c r="O244" s="124">
        <f t="shared" si="13"/>
        <v>0</v>
      </c>
    </row>
    <row r="245" spans="2:15" hidden="1" outlineLevel="2">
      <c r="B245">
        <f t="shared" si="10"/>
        <v>26</v>
      </c>
      <c r="C245" s="73" t="str">
        <v>SpareOfferA26</v>
      </c>
      <c r="D245" t="s">
        <v>304</v>
      </c>
      <c r="F245" s="89">
        <v>0</v>
      </c>
      <c r="G245" s="124">
        <f t="shared" si="13"/>
        <v>0</v>
      </c>
      <c r="H245" s="124">
        <f t="shared" si="13"/>
        <v>0</v>
      </c>
      <c r="I245" s="124">
        <f t="shared" si="13"/>
        <v>0</v>
      </c>
      <c r="J245" s="124">
        <f t="shared" si="13"/>
        <v>0</v>
      </c>
      <c r="K245" s="124">
        <f t="shared" si="13"/>
        <v>0</v>
      </c>
      <c r="L245" s="124">
        <f t="shared" si="13"/>
        <v>0</v>
      </c>
      <c r="M245" s="124">
        <f t="shared" si="13"/>
        <v>0</v>
      </c>
      <c r="N245" s="124">
        <f t="shared" si="13"/>
        <v>0</v>
      </c>
      <c r="O245" s="124">
        <f t="shared" si="13"/>
        <v>0</v>
      </c>
    </row>
    <row r="246" spans="2:15" hidden="1" outlineLevel="2">
      <c r="B246">
        <f t="shared" si="10"/>
        <v>27</v>
      </c>
      <c r="C246" s="73" t="str">
        <v>SpareOfferA27</v>
      </c>
      <c r="D246" t="s">
        <v>304</v>
      </c>
      <c r="F246" s="89">
        <v>0</v>
      </c>
      <c r="G246" s="124">
        <f t="shared" si="13"/>
        <v>0</v>
      </c>
      <c r="H246" s="124">
        <f t="shared" si="13"/>
        <v>0</v>
      </c>
      <c r="I246" s="124">
        <f t="shared" si="13"/>
        <v>0</v>
      </c>
      <c r="J246" s="124">
        <f t="shared" si="13"/>
        <v>0</v>
      </c>
      <c r="K246" s="124">
        <f t="shared" si="13"/>
        <v>0</v>
      </c>
      <c r="L246" s="124">
        <f t="shared" si="13"/>
        <v>0</v>
      </c>
      <c r="M246" s="124">
        <f t="shared" si="13"/>
        <v>0</v>
      </c>
      <c r="N246" s="124">
        <f t="shared" si="13"/>
        <v>0</v>
      </c>
      <c r="O246" s="124">
        <f t="shared" si="13"/>
        <v>0</v>
      </c>
    </row>
    <row r="247" spans="2:15" hidden="1" outlineLevel="2">
      <c r="B247">
        <f t="shared" si="10"/>
        <v>28</v>
      </c>
      <c r="C247" s="73" t="str">
        <v>SpareOfferA28</v>
      </c>
      <c r="D247" t="s">
        <v>304</v>
      </c>
      <c r="F247" s="89">
        <v>0</v>
      </c>
      <c r="G247" s="124">
        <f t="shared" si="13"/>
        <v>0</v>
      </c>
      <c r="H247" s="124">
        <f t="shared" si="13"/>
        <v>0</v>
      </c>
      <c r="I247" s="124">
        <f t="shared" si="13"/>
        <v>0</v>
      </c>
      <c r="J247" s="124">
        <f t="shared" si="13"/>
        <v>0</v>
      </c>
      <c r="K247" s="124">
        <f t="shared" si="13"/>
        <v>0</v>
      </c>
      <c r="L247" s="124">
        <f t="shared" si="13"/>
        <v>0</v>
      </c>
      <c r="M247" s="124">
        <f t="shared" si="13"/>
        <v>0</v>
      </c>
      <c r="N247" s="124">
        <f t="shared" si="13"/>
        <v>0</v>
      </c>
      <c r="O247" s="124">
        <f t="shared" si="13"/>
        <v>0</v>
      </c>
    </row>
    <row r="248" spans="2:15" hidden="1" outlineLevel="2">
      <c r="B248">
        <f t="shared" si="10"/>
        <v>29</v>
      </c>
      <c r="C248" s="73" t="str">
        <v>SpareOfferA29</v>
      </c>
      <c r="D248" t="s">
        <v>304</v>
      </c>
      <c r="F248" s="89">
        <v>0</v>
      </c>
      <c r="G248" s="124">
        <f t="shared" si="13"/>
        <v>0</v>
      </c>
      <c r="H248" s="124">
        <f t="shared" si="13"/>
        <v>0</v>
      </c>
      <c r="I248" s="124">
        <f t="shared" si="13"/>
        <v>0</v>
      </c>
      <c r="J248" s="124">
        <f t="shared" si="13"/>
        <v>0</v>
      </c>
      <c r="K248" s="124">
        <f t="shared" si="13"/>
        <v>0</v>
      </c>
      <c r="L248" s="124">
        <f t="shared" si="13"/>
        <v>0</v>
      </c>
      <c r="M248" s="124">
        <f t="shared" si="13"/>
        <v>0</v>
      </c>
      <c r="N248" s="124">
        <f t="shared" si="13"/>
        <v>0</v>
      </c>
      <c r="O248" s="124">
        <f t="shared" si="13"/>
        <v>0</v>
      </c>
    </row>
    <row r="249" spans="2:15" hidden="1" outlineLevel="2">
      <c r="B249">
        <f t="shared" si="10"/>
        <v>30</v>
      </c>
      <c r="C249" s="73" t="str">
        <v>SpareOfferA30</v>
      </c>
      <c r="D249" t="s">
        <v>304</v>
      </c>
      <c r="F249" s="89">
        <v>0</v>
      </c>
      <c r="G249" s="124">
        <f t="shared" si="13"/>
        <v>0</v>
      </c>
      <c r="H249" s="124">
        <f t="shared" si="13"/>
        <v>0</v>
      </c>
      <c r="I249" s="124">
        <f t="shared" si="13"/>
        <v>0</v>
      </c>
      <c r="J249" s="124">
        <f t="shared" si="13"/>
        <v>0</v>
      </c>
      <c r="K249" s="124">
        <f t="shared" si="13"/>
        <v>0</v>
      </c>
      <c r="L249" s="124">
        <f t="shared" si="13"/>
        <v>0</v>
      </c>
      <c r="M249" s="124">
        <f t="shared" si="13"/>
        <v>0</v>
      </c>
      <c r="N249" s="124">
        <f t="shared" si="13"/>
        <v>0</v>
      </c>
      <c r="O249" s="124">
        <f t="shared" si="13"/>
        <v>0</v>
      </c>
    </row>
    <row r="250" spans="2:15" hidden="1" outlineLevel="2">
      <c r="B250">
        <f t="shared" si="10"/>
        <v>31</v>
      </c>
      <c r="C250" s="73" t="str">
        <v>SpareOfferA31</v>
      </c>
      <c r="D250" t="s">
        <v>304</v>
      </c>
      <c r="F250" s="89">
        <v>0</v>
      </c>
      <c r="G250" s="124">
        <f t="shared" si="13"/>
        <v>0</v>
      </c>
      <c r="H250" s="124">
        <f t="shared" si="13"/>
        <v>0</v>
      </c>
      <c r="I250" s="124">
        <f t="shared" si="13"/>
        <v>0</v>
      </c>
      <c r="J250" s="124">
        <f t="shared" si="13"/>
        <v>0</v>
      </c>
      <c r="K250" s="124">
        <f t="shared" si="13"/>
        <v>0</v>
      </c>
      <c r="L250" s="124">
        <f t="shared" si="13"/>
        <v>0</v>
      </c>
      <c r="M250" s="124">
        <f t="shared" si="13"/>
        <v>0</v>
      </c>
      <c r="N250" s="124">
        <f t="shared" si="13"/>
        <v>0</v>
      </c>
      <c r="O250" s="124">
        <f t="shared" si="13"/>
        <v>0</v>
      </c>
    </row>
    <row r="251" spans="2:15" hidden="1" outlineLevel="2">
      <c r="B251">
        <f t="shared" si="10"/>
        <v>32</v>
      </c>
      <c r="C251" s="73" t="str">
        <v>SpareOfferA32</v>
      </c>
      <c r="D251" t="s">
        <v>304</v>
      </c>
      <c r="F251" s="89">
        <v>0</v>
      </c>
      <c r="G251" s="124">
        <f t="shared" si="13"/>
        <v>0</v>
      </c>
      <c r="H251" s="124">
        <f t="shared" si="13"/>
        <v>0</v>
      </c>
      <c r="I251" s="124">
        <f t="shared" si="13"/>
        <v>0</v>
      </c>
      <c r="J251" s="124">
        <f t="shared" si="13"/>
        <v>0</v>
      </c>
      <c r="K251" s="124">
        <f t="shared" si="13"/>
        <v>0</v>
      </c>
      <c r="L251" s="124">
        <f t="shared" si="13"/>
        <v>0</v>
      </c>
      <c r="M251" s="124">
        <f t="shared" si="13"/>
        <v>0</v>
      </c>
      <c r="N251" s="124">
        <f t="shared" si="13"/>
        <v>0</v>
      </c>
      <c r="O251" s="124">
        <f t="shared" si="13"/>
        <v>0</v>
      </c>
    </row>
    <row r="252" spans="2:15" hidden="1" outlineLevel="2">
      <c r="B252">
        <f t="shared" si="10"/>
        <v>33</v>
      </c>
      <c r="C252" s="73" t="str">
        <v>SpareOfferA33</v>
      </c>
      <c r="D252" t="s">
        <v>304</v>
      </c>
      <c r="F252" s="89">
        <v>0</v>
      </c>
      <c r="G252" s="124">
        <f t="shared" si="13"/>
        <v>0</v>
      </c>
      <c r="H252" s="124">
        <f t="shared" si="13"/>
        <v>0</v>
      </c>
      <c r="I252" s="124">
        <f t="shared" si="13"/>
        <v>0</v>
      </c>
      <c r="J252" s="124">
        <f t="shared" si="13"/>
        <v>0</v>
      </c>
      <c r="K252" s="124">
        <f t="shared" si="13"/>
        <v>0</v>
      </c>
      <c r="L252" s="124">
        <f t="shared" si="13"/>
        <v>0</v>
      </c>
      <c r="M252" s="124">
        <f t="shared" si="13"/>
        <v>0</v>
      </c>
      <c r="N252" s="124">
        <f t="shared" si="13"/>
        <v>0</v>
      </c>
      <c r="O252" s="124">
        <f t="shared" si="13"/>
        <v>0</v>
      </c>
    </row>
    <row r="253" spans="2:15" hidden="1" outlineLevel="2">
      <c r="B253">
        <f t="shared" si="10"/>
        <v>34</v>
      </c>
      <c r="C253" s="73" t="str">
        <v>SpareOfferA34</v>
      </c>
      <c r="D253" t="s">
        <v>304</v>
      </c>
      <c r="F253" s="89">
        <v>0</v>
      </c>
      <c r="G253" s="124">
        <f t="shared" si="13"/>
        <v>0</v>
      </c>
      <c r="H253" s="124">
        <f t="shared" si="13"/>
        <v>0</v>
      </c>
      <c r="I253" s="124">
        <f t="shared" si="13"/>
        <v>0</v>
      </c>
      <c r="J253" s="124">
        <f t="shared" si="13"/>
        <v>0</v>
      </c>
      <c r="K253" s="124">
        <f t="shared" si="13"/>
        <v>0</v>
      </c>
      <c r="L253" s="124">
        <f t="shared" si="13"/>
        <v>0</v>
      </c>
      <c r="M253" s="124">
        <f t="shared" si="13"/>
        <v>0</v>
      </c>
      <c r="N253" s="124">
        <f t="shared" si="13"/>
        <v>0</v>
      </c>
      <c r="O253" s="124">
        <f t="shared" si="13"/>
        <v>0</v>
      </c>
    </row>
    <row r="254" spans="2:15" outlineLevel="1" collapsed="1">
      <c r="B254">
        <f t="shared" si="10"/>
        <v>35</v>
      </c>
      <c r="C254" s="73" t="str">
        <v>SpareOfferA35</v>
      </c>
      <c r="D254" t="s">
        <v>304</v>
      </c>
      <c r="F254" s="89">
        <v>0</v>
      </c>
      <c r="G254" s="124">
        <f t="shared" si="13"/>
        <v>0</v>
      </c>
      <c r="H254" s="124">
        <f t="shared" si="13"/>
        <v>0</v>
      </c>
      <c r="I254" s="124">
        <f t="shared" si="13"/>
        <v>0</v>
      </c>
      <c r="J254" s="124">
        <f t="shared" si="13"/>
        <v>0</v>
      </c>
      <c r="K254" s="124">
        <f t="shared" si="13"/>
        <v>0</v>
      </c>
      <c r="L254" s="124">
        <f t="shared" si="13"/>
        <v>0</v>
      </c>
      <c r="M254" s="124">
        <f t="shared" si="13"/>
        <v>0</v>
      </c>
      <c r="N254" s="124">
        <f t="shared" si="13"/>
        <v>0</v>
      </c>
      <c r="O254" s="124">
        <f t="shared" si="13"/>
        <v>0</v>
      </c>
    </row>
    <row r="255" spans="2:15" outlineLevel="1"/>
    <row r="256" spans="2:15" outlineLevel="1">
      <c r="B256" s="35" t="s">
        <v>325</v>
      </c>
    </row>
    <row r="257" spans="3:6" outlineLevel="1"/>
    <row r="258" spans="3:6" outlineLevel="1">
      <c r="F258" s="149" t="s">
        <v>89</v>
      </c>
    </row>
    <row r="259" spans="3:6" outlineLevel="1">
      <c r="C259" s="93" t="s">
        <v>270</v>
      </c>
      <c r="F259" s="114">
        <f>SUMPRODUCT(F260:F294,subscription.split.segment.1)</f>
        <v>0</v>
      </c>
    </row>
    <row r="260" spans="3:6" outlineLevel="1">
      <c r="C260" s="73" t="str">
        <f t="array" ref="C260:C294">offers.segment.1</f>
        <v>SpareOfferA1</v>
      </c>
      <c r="D260" s="97" t="s">
        <v>189</v>
      </c>
      <c r="F260" s="142">
        <f t="shared" ref="F260:F294" si="14">F298+F337+F376</f>
        <v>0</v>
      </c>
    </row>
    <row r="261" spans="3:6" hidden="1" outlineLevel="2">
      <c r="C261" s="73" t="str">
        <v>SpareOfferA2</v>
      </c>
      <c r="D261" s="97" t="s">
        <v>189</v>
      </c>
      <c r="F261" s="142">
        <f t="shared" si="14"/>
        <v>0</v>
      </c>
    </row>
    <row r="262" spans="3:6" hidden="1" outlineLevel="2">
      <c r="C262" s="73" t="str">
        <v>SpareOfferA3</v>
      </c>
      <c r="D262" s="97" t="s">
        <v>189</v>
      </c>
      <c r="F262" s="142">
        <f t="shared" si="14"/>
        <v>0</v>
      </c>
    </row>
    <row r="263" spans="3:6" hidden="1" outlineLevel="2">
      <c r="C263" s="73" t="str">
        <v>SpareOfferA4</v>
      </c>
      <c r="D263" s="97" t="s">
        <v>189</v>
      </c>
      <c r="F263" s="142">
        <f t="shared" si="14"/>
        <v>0</v>
      </c>
    </row>
    <row r="264" spans="3:6" hidden="1" outlineLevel="2">
      <c r="C264" s="73" t="str">
        <v>SpareOfferA5</v>
      </c>
      <c r="D264" s="97" t="s">
        <v>189</v>
      </c>
      <c r="F264" s="142">
        <f t="shared" si="14"/>
        <v>0</v>
      </c>
    </row>
    <row r="265" spans="3:6" hidden="1" outlineLevel="2">
      <c r="C265" s="73" t="str">
        <v>SpareOfferA6</v>
      </c>
      <c r="D265" s="97" t="s">
        <v>189</v>
      </c>
      <c r="F265" s="142">
        <f t="shared" si="14"/>
        <v>0</v>
      </c>
    </row>
    <row r="266" spans="3:6" hidden="1" outlineLevel="2">
      <c r="C266" s="73" t="str">
        <v>SpareOfferA7</v>
      </c>
      <c r="D266" s="97" t="s">
        <v>189</v>
      </c>
      <c r="F266" s="142">
        <f t="shared" si="14"/>
        <v>0</v>
      </c>
    </row>
    <row r="267" spans="3:6" hidden="1" outlineLevel="2">
      <c r="C267" s="73" t="str">
        <v>SpareOfferA8</v>
      </c>
      <c r="D267" s="97" t="s">
        <v>189</v>
      </c>
      <c r="F267" s="142">
        <f t="shared" si="14"/>
        <v>0</v>
      </c>
    </row>
    <row r="268" spans="3:6" hidden="1" outlineLevel="2">
      <c r="C268" s="73" t="str">
        <v>SpareOfferA9</v>
      </c>
      <c r="D268" s="97" t="s">
        <v>189</v>
      </c>
      <c r="F268" s="142">
        <f t="shared" si="14"/>
        <v>0</v>
      </c>
    </row>
    <row r="269" spans="3:6" hidden="1" outlineLevel="2">
      <c r="C269" s="73" t="str">
        <v>SpareOfferA10</v>
      </c>
      <c r="D269" s="97" t="s">
        <v>189</v>
      </c>
      <c r="F269" s="142">
        <f t="shared" si="14"/>
        <v>0</v>
      </c>
    </row>
    <row r="270" spans="3:6" hidden="1" outlineLevel="2">
      <c r="C270" s="73" t="str">
        <v>SpareOfferA11</v>
      </c>
      <c r="D270" s="97" t="s">
        <v>189</v>
      </c>
      <c r="F270" s="142">
        <f t="shared" si="14"/>
        <v>0</v>
      </c>
    </row>
    <row r="271" spans="3:6" hidden="1" outlineLevel="2">
      <c r="C271" s="73" t="str">
        <v>SpareOfferA12</v>
      </c>
      <c r="D271" s="97" t="s">
        <v>189</v>
      </c>
      <c r="F271" s="142">
        <f t="shared" si="14"/>
        <v>0</v>
      </c>
    </row>
    <row r="272" spans="3:6" hidden="1" outlineLevel="2">
      <c r="C272" s="73" t="str">
        <v>SpareOfferA13</v>
      </c>
      <c r="D272" s="97" t="s">
        <v>189</v>
      </c>
      <c r="F272" s="142">
        <f t="shared" si="14"/>
        <v>0</v>
      </c>
    </row>
    <row r="273" spans="3:6" hidden="1" outlineLevel="2">
      <c r="C273" s="73" t="str">
        <v>SpareOfferA14</v>
      </c>
      <c r="D273" s="97" t="s">
        <v>189</v>
      </c>
      <c r="F273" s="142">
        <f t="shared" si="14"/>
        <v>0</v>
      </c>
    </row>
    <row r="274" spans="3:6" hidden="1" outlineLevel="2">
      <c r="C274" s="73" t="str">
        <v>SpareOfferA15</v>
      </c>
      <c r="D274" s="97" t="s">
        <v>189</v>
      </c>
      <c r="F274" s="142">
        <f t="shared" si="14"/>
        <v>0</v>
      </c>
    </row>
    <row r="275" spans="3:6" hidden="1" outlineLevel="2">
      <c r="C275" s="73" t="str">
        <v>SpareOfferA16</v>
      </c>
      <c r="D275" s="97" t="s">
        <v>189</v>
      </c>
      <c r="F275" s="142">
        <f t="shared" si="14"/>
        <v>0</v>
      </c>
    </row>
    <row r="276" spans="3:6" hidden="1" outlineLevel="2">
      <c r="C276" s="73" t="str">
        <v>SpareOfferA17</v>
      </c>
      <c r="D276" s="97" t="s">
        <v>189</v>
      </c>
      <c r="F276" s="142">
        <f t="shared" si="14"/>
        <v>0</v>
      </c>
    </row>
    <row r="277" spans="3:6" hidden="1" outlineLevel="2">
      <c r="C277" s="73" t="str">
        <v>SpareOfferA18</v>
      </c>
      <c r="D277" s="97" t="s">
        <v>189</v>
      </c>
      <c r="F277" s="142">
        <f t="shared" si="14"/>
        <v>0</v>
      </c>
    </row>
    <row r="278" spans="3:6" hidden="1" outlineLevel="2">
      <c r="C278" s="73" t="str">
        <v>SpareOfferA19</v>
      </c>
      <c r="D278" s="97" t="s">
        <v>189</v>
      </c>
      <c r="F278" s="142">
        <f t="shared" si="14"/>
        <v>0</v>
      </c>
    </row>
    <row r="279" spans="3:6" hidden="1" outlineLevel="2">
      <c r="C279" s="73" t="str">
        <v>SpareOfferA20</v>
      </c>
      <c r="D279" s="97" t="s">
        <v>189</v>
      </c>
      <c r="F279" s="142">
        <f t="shared" si="14"/>
        <v>0</v>
      </c>
    </row>
    <row r="280" spans="3:6" hidden="1" outlineLevel="2">
      <c r="C280" s="73" t="str">
        <v>SpareOfferA21</v>
      </c>
      <c r="D280" s="97" t="s">
        <v>189</v>
      </c>
      <c r="F280" s="142">
        <f t="shared" si="14"/>
        <v>0</v>
      </c>
    </row>
    <row r="281" spans="3:6" hidden="1" outlineLevel="2">
      <c r="C281" s="73" t="str">
        <v>SpareOfferA22</v>
      </c>
      <c r="D281" s="97" t="s">
        <v>189</v>
      </c>
      <c r="F281" s="142">
        <f t="shared" si="14"/>
        <v>0</v>
      </c>
    </row>
    <row r="282" spans="3:6" hidden="1" outlineLevel="2">
      <c r="C282" s="73" t="str">
        <v>SpareOfferA23</v>
      </c>
      <c r="D282" s="97" t="s">
        <v>189</v>
      </c>
      <c r="F282" s="142">
        <f t="shared" si="14"/>
        <v>0</v>
      </c>
    </row>
    <row r="283" spans="3:6" hidden="1" outlineLevel="2">
      <c r="C283" s="73" t="str">
        <v>SpareOfferA24</v>
      </c>
      <c r="D283" s="97" t="s">
        <v>189</v>
      </c>
      <c r="F283" s="142">
        <f t="shared" si="14"/>
        <v>0</v>
      </c>
    </row>
    <row r="284" spans="3:6" hidden="1" outlineLevel="2">
      <c r="C284" s="73" t="str">
        <v>SpareOfferA25</v>
      </c>
      <c r="D284" s="97" t="s">
        <v>189</v>
      </c>
      <c r="F284" s="142">
        <f t="shared" si="14"/>
        <v>0</v>
      </c>
    </row>
    <row r="285" spans="3:6" hidden="1" outlineLevel="2">
      <c r="C285" s="73" t="str">
        <v>SpareOfferA26</v>
      </c>
      <c r="D285" s="97" t="s">
        <v>189</v>
      </c>
      <c r="F285" s="142">
        <f t="shared" si="14"/>
        <v>0</v>
      </c>
    </row>
    <row r="286" spans="3:6" hidden="1" outlineLevel="2">
      <c r="C286" s="73" t="str">
        <v>SpareOfferA27</v>
      </c>
      <c r="D286" s="97" t="s">
        <v>189</v>
      </c>
      <c r="F286" s="142">
        <f t="shared" si="14"/>
        <v>0</v>
      </c>
    </row>
    <row r="287" spans="3:6" hidden="1" outlineLevel="2">
      <c r="C287" s="73" t="str">
        <v>SpareOfferA28</v>
      </c>
      <c r="D287" s="97" t="s">
        <v>189</v>
      </c>
      <c r="F287" s="142">
        <f t="shared" si="14"/>
        <v>0</v>
      </c>
    </row>
    <row r="288" spans="3:6" hidden="1" outlineLevel="2">
      <c r="C288" s="73" t="str">
        <v>SpareOfferA29</v>
      </c>
      <c r="D288" s="97" t="s">
        <v>189</v>
      </c>
      <c r="F288" s="142">
        <f t="shared" si="14"/>
        <v>0</v>
      </c>
    </row>
    <row r="289" spans="3:7" hidden="1" outlineLevel="2">
      <c r="C289" s="73" t="str">
        <v>SpareOfferA30</v>
      </c>
      <c r="D289" s="97" t="s">
        <v>189</v>
      </c>
      <c r="F289" s="142">
        <f t="shared" si="14"/>
        <v>0</v>
      </c>
    </row>
    <row r="290" spans="3:7" hidden="1" outlineLevel="2">
      <c r="C290" s="73" t="str">
        <v>SpareOfferA31</v>
      </c>
      <c r="D290" s="97" t="s">
        <v>189</v>
      </c>
      <c r="F290" s="142">
        <f t="shared" si="14"/>
        <v>0</v>
      </c>
    </row>
    <row r="291" spans="3:7" hidden="1" outlineLevel="2">
      <c r="C291" s="73" t="str">
        <v>SpareOfferA32</v>
      </c>
      <c r="D291" s="97" t="s">
        <v>189</v>
      </c>
      <c r="F291" s="142">
        <f t="shared" si="14"/>
        <v>0</v>
      </c>
    </row>
    <row r="292" spans="3:7" hidden="1" outlineLevel="2">
      <c r="C292" s="73" t="str">
        <v>SpareOfferA33</v>
      </c>
      <c r="D292" s="97" t="s">
        <v>189</v>
      </c>
      <c r="F292" s="142">
        <f t="shared" si="14"/>
        <v>0</v>
      </c>
    </row>
    <row r="293" spans="3:7" hidden="1" outlineLevel="2">
      <c r="C293" s="73" t="str">
        <v>SpareOfferA34</v>
      </c>
      <c r="D293" s="97" t="s">
        <v>189</v>
      </c>
      <c r="F293" s="142">
        <f t="shared" si="14"/>
        <v>0</v>
      </c>
    </row>
    <row r="294" spans="3:7" outlineLevel="1" collapsed="1">
      <c r="C294" s="73" t="str">
        <v>SpareOfferA35</v>
      </c>
      <c r="D294" s="97" t="s">
        <v>189</v>
      </c>
      <c r="F294" s="142">
        <f t="shared" si="14"/>
        <v>0</v>
      </c>
    </row>
    <row r="295" spans="3:7" ht="12" outlineLevel="1">
      <c r="F295" s="153" t="s">
        <v>328</v>
      </c>
    </row>
    <row r="296" spans="3:7" outlineLevel="1">
      <c r="C296" s="93" t="s">
        <v>318</v>
      </c>
      <c r="F296" s="149" t="s">
        <v>89</v>
      </c>
    </row>
    <row r="297" spans="3:7" outlineLevel="1">
      <c r="C297" s="35" t="s">
        <v>89</v>
      </c>
      <c r="D297" s="97" t="s">
        <v>189</v>
      </c>
      <c r="F297" s="101">
        <f>$F$22</f>
        <v>0</v>
      </c>
      <c r="G297" s="1" t="s">
        <v>310</v>
      </c>
    </row>
    <row r="298" spans="3:7" outlineLevel="1">
      <c r="C298" s="73" t="str">
        <f t="array" ref="C298:C332">offers.segment.1</f>
        <v>SpareOfferA1</v>
      </c>
      <c r="D298" s="97" t="s">
        <v>189</v>
      </c>
      <c r="F298" s="168">
        <f t="shared" ref="F298:F332" si="15">F$297*IF(G298=0, 0, 1)</f>
        <v>0</v>
      </c>
      <c r="G298" s="228">
        <f t="array" ref="G298:G332">subscription.split.segment.1</f>
        <v>0</v>
      </c>
    </row>
    <row r="299" spans="3:7" hidden="1" outlineLevel="2">
      <c r="C299" s="73" t="str">
        <v>SpareOfferA2</v>
      </c>
      <c r="D299" s="97" t="s">
        <v>189</v>
      </c>
      <c r="F299" s="168">
        <f t="shared" si="15"/>
        <v>0</v>
      </c>
      <c r="G299" s="228">
        <v>0</v>
      </c>
    </row>
    <row r="300" spans="3:7" hidden="1" outlineLevel="2">
      <c r="C300" s="73" t="str">
        <v>SpareOfferA3</v>
      </c>
      <c r="D300" s="97" t="s">
        <v>189</v>
      </c>
      <c r="F300" s="168">
        <f t="shared" si="15"/>
        <v>0</v>
      </c>
      <c r="G300" s="228">
        <v>0</v>
      </c>
    </row>
    <row r="301" spans="3:7" hidden="1" outlineLevel="2">
      <c r="C301" s="73" t="str">
        <v>SpareOfferA4</v>
      </c>
      <c r="D301" s="97" t="s">
        <v>189</v>
      </c>
      <c r="F301" s="168">
        <f t="shared" si="15"/>
        <v>0</v>
      </c>
      <c r="G301" s="228">
        <v>0</v>
      </c>
    </row>
    <row r="302" spans="3:7" hidden="1" outlineLevel="2">
      <c r="C302" s="73" t="str">
        <v>SpareOfferA5</v>
      </c>
      <c r="D302" s="97" t="s">
        <v>189</v>
      </c>
      <c r="F302" s="168">
        <f t="shared" si="15"/>
        <v>0</v>
      </c>
      <c r="G302" s="228">
        <v>0</v>
      </c>
    </row>
    <row r="303" spans="3:7" hidden="1" outlineLevel="2">
      <c r="C303" s="73" t="str">
        <v>SpareOfferA6</v>
      </c>
      <c r="D303" s="97" t="s">
        <v>189</v>
      </c>
      <c r="F303" s="168">
        <f t="shared" si="15"/>
        <v>0</v>
      </c>
      <c r="G303" s="228">
        <v>0</v>
      </c>
    </row>
    <row r="304" spans="3:7" hidden="1" outlineLevel="2">
      <c r="C304" s="73" t="str">
        <v>SpareOfferA7</v>
      </c>
      <c r="D304" s="97" t="s">
        <v>189</v>
      </c>
      <c r="F304" s="168">
        <f t="shared" si="15"/>
        <v>0</v>
      </c>
      <c r="G304" s="228">
        <v>0</v>
      </c>
    </row>
    <row r="305" spans="3:7" hidden="1" outlineLevel="2">
      <c r="C305" s="73" t="str">
        <v>SpareOfferA8</v>
      </c>
      <c r="D305" s="97" t="s">
        <v>189</v>
      </c>
      <c r="F305" s="168">
        <f t="shared" si="15"/>
        <v>0</v>
      </c>
      <c r="G305" s="228">
        <v>0</v>
      </c>
    </row>
    <row r="306" spans="3:7" hidden="1" outlineLevel="2">
      <c r="C306" s="73" t="str">
        <v>SpareOfferA9</v>
      </c>
      <c r="D306" s="97" t="s">
        <v>189</v>
      </c>
      <c r="F306" s="168">
        <f t="shared" si="15"/>
        <v>0</v>
      </c>
      <c r="G306" s="228">
        <v>0</v>
      </c>
    </row>
    <row r="307" spans="3:7" hidden="1" outlineLevel="2">
      <c r="C307" s="73" t="str">
        <v>SpareOfferA10</v>
      </c>
      <c r="D307" s="97" t="s">
        <v>189</v>
      </c>
      <c r="F307" s="168">
        <f t="shared" si="15"/>
        <v>0</v>
      </c>
      <c r="G307" s="228">
        <v>0</v>
      </c>
    </row>
    <row r="308" spans="3:7" hidden="1" outlineLevel="2">
      <c r="C308" s="73" t="str">
        <v>SpareOfferA11</v>
      </c>
      <c r="D308" s="97" t="s">
        <v>189</v>
      </c>
      <c r="F308" s="168">
        <f t="shared" si="15"/>
        <v>0</v>
      </c>
      <c r="G308" s="228">
        <v>0</v>
      </c>
    </row>
    <row r="309" spans="3:7" hidden="1" outlineLevel="2">
      <c r="C309" s="73" t="str">
        <v>SpareOfferA12</v>
      </c>
      <c r="D309" s="97" t="s">
        <v>189</v>
      </c>
      <c r="F309" s="168">
        <f t="shared" si="15"/>
        <v>0</v>
      </c>
      <c r="G309" s="228">
        <v>0</v>
      </c>
    </row>
    <row r="310" spans="3:7" hidden="1" outlineLevel="2">
      <c r="C310" s="73" t="str">
        <v>SpareOfferA13</v>
      </c>
      <c r="D310" s="97" t="s">
        <v>189</v>
      </c>
      <c r="F310" s="168">
        <f t="shared" si="15"/>
        <v>0</v>
      </c>
      <c r="G310" s="228">
        <v>0</v>
      </c>
    </row>
    <row r="311" spans="3:7" hidden="1" outlineLevel="2">
      <c r="C311" s="73" t="str">
        <v>SpareOfferA14</v>
      </c>
      <c r="D311" s="97" t="s">
        <v>189</v>
      </c>
      <c r="F311" s="168">
        <f t="shared" si="15"/>
        <v>0</v>
      </c>
      <c r="G311" s="228">
        <v>0</v>
      </c>
    </row>
    <row r="312" spans="3:7" hidden="1" outlineLevel="2">
      <c r="C312" s="73" t="str">
        <v>SpareOfferA15</v>
      </c>
      <c r="D312" s="97" t="s">
        <v>189</v>
      </c>
      <c r="F312" s="168">
        <f t="shared" si="15"/>
        <v>0</v>
      </c>
      <c r="G312" s="228">
        <v>0</v>
      </c>
    </row>
    <row r="313" spans="3:7" hidden="1" outlineLevel="2">
      <c r="C313" s="73" t="str">
        <v>SpareOfferA16</v>
      </c>
      <c r="D313" s="97" t="s">
        <v>189</v>
      </c>
      <c r="F313" s="168">
        <f t="shared" si="15"/>
        <v>0</v>
      </c>
      <c r="G313" s="228">
        <v>0</v>
      </c>
    </row>
    <row r="314" spans="3:7" hidden="1" outlineLevel="2">
      <c r="C314" s="73" t="str">
        <v>SpareOfferA17</v>
      </c>
      <c r="D314" s="97" t="s">
        <v>189</v>
      </c>
      <c r="F314" s="168">
        <f t="shared" si="15"/>
        <v>0</v>
      </c>
      <c r="G314" s="228">
        <v>0</v>
      </c>
    </row>
    <row r="315" spans="3:7" hidden="1" outlineLevel="2">
      <c r="C315" s="73" t="str">
        <v>SpareOfferA18</v>
      </c>
      <c r="D315" s="97" t="s">
        <v>189</v>
      </c>
      <c r="F315" s="168">
        <f t="shared" si="15"/>
        <v>0</v>
      </c>
      <c r="G315" s="228">
        <v>0</v>
      </c>
    </row>
    <row r="316" spans="3:7" hidden="1" outlineLevel="2">
      <c r="C316" s="73" t="str">
        <v>SpareOfferA19</v>
      </c>
      <c r="D316" s="97" t="s">
        <v>189</v>
      </c>
      <c r="F316" s="168">
        <f t="shared" si="15"/>
        <v>0</v>
      </c>
      <c r="G316" s="228">
        <v>0</v>
      </c>
    </row>
    <row r="317" spans="3:7" hidden="1" outlineLevel="2">
      <c r="C317" s="73" t="str">
        <v>SpareOfferA20</v>
      </c>
      <c r="D317" s="97" t="s">
        <v>189</v>
      </c>
      <c r="F317" s="168">
        <f t="shared" si="15"/>
        <v>0</v>
      </c>
      <c r="G317" s="228">
        <v>0</v>
      </c>
    </row>
    <row r="318" spans="3:7" hidden="1" outlineLevel="2">
      <c r="C318" s="73" t="str">
        <v>SpareOfferA21</v>
      </c>
      <c r="D318" s="97" t="s">
        <v>189</v>
      </c>
      <c r="F318" s="168">
        <f t="shared" si="15"/>
        <v>0</v>
      </c>
      <c r="G318" s="228">
        <v>0</v>
      </c>
    </row>
    <row r="319" spans="3:7" hidden="1" outlineLevel="2">
      <c r="C319" s="73" t="str">
        <v>SpareOfferA22</v>
      </c>
      <c r="D319" s="97" t="s">
        <v>189</v>
      </c>
      <c r="F319" s="168">
        <f t="shared" si="15"/>
        <v>0</v>
      </c>
      <c r="G319" s="228">
        <v>0</v>
      </c>
    </row>
    <row r="320" spans="3:7" hidden="1" outlineLevel="2">
      <c r="C320" s="73" t="str">
        <v>SpareOfferA23</v>
      </c>
      <c r="D320" s="97" t="s">
        <v>189</v>
      </c>
      <c r="F320" s="168">
        <f t="shared" si="15"/>
        <v>0</v>
      </c>
      <c r="G320" s="228">
        <v>0</v>
      </c>
    </row>
    <row r="321" spans="3:21" hidden="1" outlineLevel="2">
      <c r="C321" s="73" t="str">
        <v>SpareOfferA24</v>
      </c>
      <c r="D321" s="97" t="s">
        <v>189</v>
      </c>
      <c r="F321" s="168">
        <f t="shared" si="15"/>
        <v>0</v>
      </c>
      <c r="G321" s="228">
        <v>0</v>
      </c>
    </row>
    <row r="322" spans="3:21" hidden="1" outlineLevel="2">
      <c r="C322" s="73" t="str">
        <v>SpareOfferA25</v>
      </c>
      <c r="D322" s="97" t="s">
        <v>189</v>
      </c>
      <c r="F322" s="168">
        <f t="shared" si="15"/>
        <v>0</v>
      </c>
      <c r="G322" s="228">
        <v>0</v>
      </c>
    </row>
    <row r="323" spans="3:21" hidden="1" outlineLevel="2">
      <c r="C323" s="73" t="str">
        <v>SpareOfferA26</v>
      </c>
      <c r="D323" s="97" t="s">
        <v>189</v>
      </c>
      <c r="F323" s="168">
        <f t="shared" si="15"/>
        <v>0</v>
      </c>
      <c r="G323" s="228">
        <v>0</v>
      </c>
    </row>
    <row r="324" spans="3:21" hidden="1" outlineLevel="2">
      <c r="C324" s="73" t="str">
        <v>SpareOfferA27</v>
      </c>
      <c r="D324" s="97" t="s">
        <v>189</v>
      </c>
      <c r="F324" s="168">
        <f t="shared" si="15"/>
        <v>0</v>
      </c>
      <c r="G324" s="228">
        <v>0</v>
      </c>
    </row>
    <row r="325" spans="3:21" hidden="1" outlineLevel="2">
      <c r="C325" s="73" t="str">
        <v>SpareOfferA28</v>
      </c>
      <c r="D325" s="97" t="s">
        <v>189</v>
      </c>
      <c r="F325" s="168">
        <f t="shared" si="15"/>
        <v>0</v>
      </c>
      <c r="G325" s="228">
        <v>0</v>
      </c>
    </row>
    <row r="326" spans="3:21" hidden="1" outlineLevel="2">
      <c r="C326" s="73" t="str">
        <v>SpareOfferA29</v>
      </c>
      <c r="D326" s="97" t="s">
        <v>189</v>
      </c>
      <c r="F326" s="168">
        <f t="shared" si="15"/>
        <v>0</v>
      </c>
      <c r="G326" s="228">
        <v>0</v>
      </c>
    </row>
    <row r="327" spans="3:21" hidden="1" outlineLevel="2">
      <c r="C327" s="73" t="str">
        <v>SpareOfferA30</v>
      </c>
      <c r="D327" s="97" t="s">
        <v>189</v>
      </c>
      <c r="F327" s="168">
        <f t="shared" si="15"/>
        <v>0</v>
      </c>
      <c r="G327" s="228">
        <v>0</v>
      </c>
    </row>
    <row r="328" spans="3:21" hidden="1" outlineLevel="2">
      <c r="C328" s="73" t="str">
        <v>SpareOfferA31</v>
      </c>
      <c r="D328" s="97" t="s">
        <v>189</v>
      </c>
      <c r="F328" s="168">
        <f t="shared" si="15"/>
        <v>0</v>
      </c>
      <c r="G328" s="228">
        <v>0</v>
      </c>
    </row>
    <row r="329" spans="3:21" hidden="1" outlineLevel="2">
      <c r="C329" s="73" t="str">
        <v>SpareOfferA32</v>
      </c>
      <c r="D329" s="97" t="s">
        <v>189</v>
      </c>
      <c r="F329" s="168">
        <f t="shared" si="15"/>
        <v>0</v>
      </c>
      <c r="G329" s="228">
        <v>0</v>
      </c>
    </row>
    <row r="330" spans="3:21" hidden="1" outlineLevel="2">
      <c r="C330" s="73" t="str">
        <v>SpareOfferA33</v>
      </c>
      <c r="D330" s="97" t="s">
        <v>189</v>
      </c>
      <c r="F330" s="168">
        <f t="shared" si="15"/>
        <v>0</v>
      </c>
      <c r="G330" s="228">
        <v>0</v>
      </c>
    </row>
    <row r="331" spans="3:21" hidden="1" outlineLevel="2">
      <c r="C331" s="73" t="str">
        <v>SpareOfferA34</v>
      </c>
      <c r="D331" s="97" t="s">
        <v>189</v>
      </c>
      <c r="F331" s="168">
        <f t="shared" si="15"/>
        <v>0</v>
      </c>
      <c r="G331" s="228">
        <v>0</v>
      </c>
    </row>
    <row r="332" spans="3:21" outlineLevel="1" collapsed="1">
      <c r="C332" s="73" t="str">
        <v>SpareOfferA35</v>
      </c>
      <c r="D332" s="97" t="s">
        <v>189</v>
      </c>
      <c r="F332" s="168">
        <f t="shared" si="15"/>
        <v>0</v>
      </c>
      <c r="G332" s="228">
        <v>0</v>
      </c>
    </row>
    <row r="333" spans="3:21" outlineLevel="1">
      <c r="F333" s="4"/>
    </row>
    <row r="334" spans="3:21" outlineLevel="1">
      <c r="C334" s="35" t="s">
        <v>513</v>
      </c>
      <c r="F334" s="1" t="s">
        <v>317</v>
      </c>
      <c r="G334" s="165" t="s">
        <v>162</v>
      </c>
      <c r="H334" s="165"/>
      <c r="I334" s="165"/>
      <c r="J334" s="165"/>
      <c r="K334" s="165"/>
      <c r="L334" s="165"/>
      <c r="M334" s="165"/>
      <c r="O334" s="165" t="s">
        <v>164</v>
      </c>
      <c r="P334" s="165"/>
      <c r="Q334" s="165"/>
      <c r="R334" s="66"/>
      <c r="S334" s="66"/>
      <c r="T334" s="66"/>
      <c r="U334" s="66"/>
    </row>
    <row r="335" spans="3:21" ht="25.5" customHeight="1" outlineLevel="1">
      <c r="F335" s="155"/>
      <c r="G335" s="165" t="str">
        <f t="array" ref="G335:M335">TRANSPOSE(voice.destination.plus.in)</f>
        <v>On-net</v>
      </c>
      <c r="H335" s="165" t="str">
        <v>Off-net fixed</v>
      </c>
      <c r="I335" s="165" t="str">
        <v>Off-net mobile</v>
      </c>
      <c r="J335" s="66" t="str">
        <v>International</v>
      </c>
      <c r="K335" s="66" t="str">
        <v>VAS</v>
      </c>
      <c r="L335" s="66" t="str">
        <v>Not used</v>
      </c>
      <c r="M335" s="165" t="str">
        <v>Termination</v>
      </c>
      <c r="O335" s="165" t="str">
        <f t="array" ref="O335:U335">TRANSPOSE(SMS.destination.plus.in)</f>
        <v>On-net</v>
      </c>
      <c r="P335" s="165" t="str">
        <v>Off-net fixed</v>
      </c>
      <c r="Q335" s="165" t="str">
        <v>Off-net mobile</v>
      </c>
      <c r="R335" s="66" t="str">
        <v>International</v>
      </c>
      <c r="S335" s="66" t="str">
        <v>Content messages: BankID</v>
      </c>
      <c r="T335" s="66" t="str">
        <v>Content messages: other</v>
      </c>
      <c r="U335" s="165" t="str">
        <v>Termination</v>
      </c>
    </row>
    <row r="336" spans="3:21" outlineLevel="1">
      <c r="C336" s="91" t="s">
        <v>89</v>
      </c>
      <c r="D336" s="97" t="s">
        <v>189</v>
      </c>
      <c r="F336" s="114">
        <f>SUMPRODUCT(F337:F371,subscription.split.segment.1)</f>
        <v>0</v>
      </c>
      <c r="G336" s="114">
        <f t="shared" ref="G336:M336" si="16">SUMPRODUCT(G337:G371,subscription.split.segment.1)</f>
        <v>0</v>
      </c>
      <c r="H336" s="114">
        <f t="shared" si="16"/>
        <v>0</v>
      </c>
      <c r="I336" s="114">
        <f t="shared" si="16"/>
        <v>0</v>
      </c>
      <c r="J336" s="114">
        <f t="shared" si="16"/>
        <v>0</v>
      </c>
      <c r="K336" s="114">
        <f t="shared" si="16"/>
        <v>0</v>
      </c>
      <c r="L336" s="114">
        <f t="shared" si="16"/>
        <v>0</v>
      </c>
      <c r="M336" s="114">
        <f t="shared" si="16"/>
        <v>0</v>
      </c>
      <c r="O336" s="114">
        <f t="shared" ref="O336:U336" si="17">SUMPRODUCT(O337:O371,subscription.split.segment.1)</f>
        <v>0</v>
      </c>
      <c r="P336" s="114">
        <f t="shared" si="17"/>
        <v>0</v>
      </c>
      <c r="Q336" s="114">
        <f t="shared" si="17"/>
        <v>0</v>
      </c>
      <c r="R336" s="114">
        <f t="shared" si="17"/>
        <v>0</v>
      </c>
      <c r="S336" s="114">
        <f t="shared" si="17"/>
        <v>0</v>
      </c>
      <c r="T336" s="114">
        <f t="shared" si="17"/>
        <v>0</v>
      </c>
      <c r="U336" s="114">
        <f t="shared" si="17"/>
        <v>0</v>
      </c>
    </row>
    <row r="337" spans="3:21" outlineLevel="1">
      <c r="C337" s="73" t="str">
        <f t="array" ref="C337:C371">offers.segment.1</f>
        <v>SpareOfferA1</v>
      </c>
      <c r="D337" s="97" t="s">
        <v>189</v>
      </c>
      <c r="F337" s="148">
        <f>SUM(G337:M337)+SUM(O337:U337)</f>
        <v>0</v>
      </c>
      <c r="G337" s="102">
        <f t="shared" ref="G337:G371" si="18">(G$26+$M$26)*G181</f>
        <v>0</v>
      </c>
      <c r="H337" s="167">
        <f t="shared" ref="H337:M346" si="19">H$26*H181</f>
        <v>0</v>
      </c>
      <c r="I337" s="167">
        <f t="shared" si="19"/>
        <v>0</v>
      </c>
      <c r="J337" s="167">
        <f t="shared" si="19"/>
        <v>0</v>
      </c>
      <c r="K337" s="167">
        <f t="shared" si="19"/>
        <v>0</v>
      </c>
      <c r="L337" s="167">
        <f t="shared" si="19"/>
        <v>0</v>
      </c>
      <c r="M337" s="167">
        <f t="shared" si="19"/>
        <v>0</v>
      </c>
      <c r="O337" s="102">
        <f t="shared" ref="O337:O371" si="20">(O$26+$U$26)*O181</f>
        <v>0</v>
      </c>
      <c r="P337" s="167">
        <f t="shared" ref="P337:U346" si="21">P$26*P181</f>
        <v>0</v>
      </c>
      <c r="Q337" s="167">
        <f t="shared" si="21"/>
        <v>0</v>
      </c>
      <c r="R337" s="167">
        <f t="shared" si="21"/>
        <v>0</v>
      </c>
      <c r="S337" s="167">
        <f t="shared" si="21"/>
        <v>0</v>
      </c>
      <c r="T337" s="167">
        <f t="shared" si="21"/>
        <v>0</v>
      </c>
      <c r="U337" s="167">
        <f t="shared" si="21"/>
        <v>0</v>
      </c>
    </row>
    <row r="338" spans="3:21" hidden="1" outlineLevel="2">
      <c r="C338" s="73" t="str">
        <v>SpareOfferA2</v>
      </c>
      <c r="D338" s="97" t="s">
        <v>189</v>
      </c>
      <c r="F338" s="148">
        <f t="shared" ref="F338:F371" si="22">SUM(G338:M338)+SUM(O338:U338)</f>
        <v>0</v>
      </c>
      <c r="G338" s="102">
        <f t="shared" si="18"/>
        <v>0</v>
      </c>
      <c r="H338" s="167">
        <f t="shared" si="19"/>
        <v>0</v>
      </c>
      <c r="I338" s="167">
        <f t="shared" si="19"/>
        <v>0</v>
      </c>
      <c r="J338" s="167">
        <f t="shared" si="19"/>
        <v>0</v>
      </c>
      <c r="K338" s="167">
        <f t="shared" si="19"/>
        <v>0</v>
      </c>
      <c r="L338" s="167">
        <f t="shared" si="19"/>
        <v>0</v>
      </c>
      <c r="M338" s="167">
        <f t="shared" si="19"/>
        <v>0</v>
      </c>
      <c r="O338" s="102">
        <f t="shared" si="20"/>
        <v>0</v>
      </c>
      <c r="P338" s="167">
        <f t="shared" si="21"/>
        <v>0</v>
      </c>
      <c r="Q338" s="167">
        <f t="shared" si="21"/>
        <v>0</v>
      </c>
      <c r="R338" s="167">
        <f t="shared" si="21"/>
        <v>0</v>
      </c>
      <c r="S338" s="167">
        <f t="shared" si="21"/>
        <v>0</v>
      </c>
      <c r="T338" s="167">
        <f t="shared" si="21"/>
        <v>0</v>
      </c>
      <c r="U338" s="167">
        <f t="shared" si="21"/>
        <v>0</v>
      </c>
    </row>
    <row r="339" spans="3:21" hidden="1" outlineLevel="2">
      <c r="C339" s="73" t="str">
        <v>SpareOfferA3</v>
      </c>
      <c r="D339" s="97" t="s">
        <v>189</v>
      </c>
      <c r="F339" s="148">
        <f t="shared" si="22"/>
        <v>0</v>
      </c>
      <c r="G339" s="102">
        <f t="shared" si="18"/>
        <v>0</v>
      </c>
      <c r="H339" s="167">
        <f t="shared" si="19"/>
        <v>0</v>
      </c>
      <c r="I339" s="167">
        <f t="shared" si="19"/>
        <v>0</v>
      </c>
      <c r="J339" s="167">
        <f t="shared" si="19"/>
        <v>0</v>
      </c>
      <c r="K339" s="167">
        <f t="shared" si="19"/>
        <v>0</v>
      </c>
      <c r="L339" s="167">
        <f t="shared" si="19"/>
        <v>0</v>
      </c>
      <c r="M339" s="167">
        <f t="shared" si="19"/>
        <v>0</v>
      </c>
      <c r="O339" s="102">
        <f t="shared" si="20"/>
        <v>0</v>
      </c>
      <c r="P339" s="167">
        <f t="shared" si="21"/>
        <v>0</v>
      </c>
      <c r="Q339" s="167">
        <f t="shared" si="21"/>
        <v>0</v>
      </c>
      <c r="R339" s="167">
        <f t="shared" si="21"/>
        <v>0</v>
      </c>
      <c r="S339" s="167">
        <f t="shared" si="21"/>
        <v>0</v>
      </c>
      <c r="T339" s="167">
        <f t="shared" si="21"/>
        <v>0</v>
      </c>
      <c r="U339" s="167">
        <f t="shared" si="21"/>
        <v>0</v>
      </c>
    </row>
    <row r="340" spans="3:21" hidden="1" outlineLevel="2">
      <c r="C340" s="73" t="str">
        <v>SpareOfferA4</v>
      </c>
      <c r="D340" s="97" t="s">
        <v>189</v>
      </c>
      <c r="F340" s="148">
        <f t="shared" si="22"/>
        <v>0</v>
      </c>
      <c r="G340" s="102">
        <f t="shared" si="18"/>
        <v>0</v>
      </c>
      <c r="H340" s="167">
        <f t="shared" si="19"/>
        <v>0</v>
      </c>
      <c r="I340" s="167">
        <f t="shared" si="19"/>
        <v>0</v>
      </c>
      <c r="J340" s="167">
        <f t="shared" si="19"/>
        <v>0</v>
      </c>
      <c r="K340" s="167">
        <f t="shared" si="19"/>
        <v>0</v>
      </c>
      <c r="L340" s="167">
        <f t="shared" si="19"/>
        <v>0</v>
      </c>
      <c r="M340" s="167">
        <f t="shared" si="19"/>
        <v>0</v>
      </c>
      <c r="O340" s="102">
        <f t="shared" si="20"/>
        <v>0</v>
      </c>
      <c r="P340" s="167">
        <f t="shared" si="21"/>
        <v>0</v>
      </c>
      <c r="Q340" s="167">
        <f t="shared" si="21"/>
        <v>0</v>
      </c>
      <c r="R340" s="167">
        <f t="shared" si="21"/>
        <v>0</v>
      </c>
      <c r="S340" s="167">
        <f t="shared" si="21"/>
        <v>0</v>
      </c>
      <c r="T340" s="167">
        <f t="shared" si="21"/>
        <v>0</v>
      </c>
      <c r="U340" s="167">
        <f t="shared" si="21"/>
        <v>0</v>
      </c>
    </row>
    <row r="341" spans="3:21" hidden="1" outlineLevel="2">
      <c r="C341" s="73" t="str">
        <v>SpareOfferA5</v>
      </c>
      <c r="D341" s="97" t="s">
        <v>189</v>
      </c>
      <c r="F341" s="148">
        <f t="shared" si="22"/>
        <v>0</v>
      </c>
      <c r="G341" s="102">
        <f t="shared" si="18"/>
        <v>0</v>
      </c>
      <c r="H341" s="167">
        <f t="shared" si="19"/>
        <v>0</v>
      </c>
      <c r="I341" s="167">
        <f t="shared" si="19"/>
        <v>0</v>
      </c>
      <c r="J341" s="167">
        <f t="shared" si="19"/>
        <v>0</v>
      </c>
      <c r="K341" s="167">
        <f t="shared" si="19"/>
        <v>0</v>
      </c>
      <c r="L341" s="167">
        <f t="shared" si="19"/>
        <v>0</v>
      </c>
      <c r="M341" s="167">
        <f t="shared" si="19"/>
        <v>0</v>
      </c>
      <c r="O341" s="102">
        <f t="shared" si="20"/>
        <v>0</v>
      </c>
      <c r="P341" s="167">
        <f t="shared" si="21"/>
        <v>0</v>
      </c>
      <c r="Q341" s="167">
        <f t="shared" si="21"/>
        <v>0</v>
      </c>
      <c r="R341" s="167">
        <f t="shared" si="21"/>
        <v>0</v>
      </c>
      <c r="S341" s="167">
        <f t="shared" si="21"/>
        <v>0</v>
      </c>
      <c r="T341" s="167">
        <f t="shared" si="21"/>
        <v>0</v>
      </c>
      <c r="U341" s="167">
        <f t="shared" si="21"/>
        <v>0</v>
      </c>
    </row>
    <row r="342" spans="3:21" hidden="1" outlineLevel="2">
      <c r="C342" s="73" t="str">
        <v>SpareOfferA6</v>
      </c>
      <c r="D342" s="97" t="s">
        <v>189</v>
      </c>
      <c r="F342" s="148">
        <f t="shared" si="22"/>
        <v>0</v>
      </c>
      <c r="G342" s="102">
        <f t="shared" si="18"/>
        <v>0</v>
      </c>
      <c r="H342" s="167">
        <f t="shared" si="19"/>
        <v>0</v>
      </c>
      <c r="I342" s="167">
        <f t="shared" si="19"/>
        <v>0</v>
      </c>
      <c r="J342" s="167">
        <f t="shared" si="19"/>
        <v>0</v>
      </c>
      <c r="K342" s="167">
        <f t="shared" si="19"/>
        <v>0</v>
      </c>
      <c r="L342" s="167">
        <f t="shared" si="19"/>
        <v>0</v>
      </c>
      <c r="M342" s="167">
        <f t="shared" si="19"/>
        <v>0</v>
      </c>
      <c r="O342" s="102">
        <f t="shared" si="20"/>
        <v>0</v>
      </c>
      <c r="P342" s="167">
        <f t="shared" si="21"/>
        <v>0</v>
      </c>
      <c r="Q342" s="167">
        <f t="shared" si="21"/>
        <v>0</v>
      </c>
      <c r="R342" s="167">
        <f t="shared" si="21"/>
        <v>0</v>
      </c>
      <c r="S342" s="167">
        <f t="shared" si="21"/>
        <v>0</v>
      </c>
      <c r="T342" s="167">
        <f t="shared" si="21"/>
        <v>0</v>
      </c>
      <c r="U342" s="167">
        <f t="shared" si="21"/>
        <v>0</v>
      </c>
    </row>
    <row r="343" spans="3:21" hidden="1" outlineLevel="2">
      <c r="C343" s="73" t="str">
        <v>SpareOfferA7</v>
      </c>
      <c r="D343" s="97" t="s">
        <v>189</v>
      </c>
      <c r="F343" s="148">
        <f t="shared" si="22"/>
        <v>0</v>
      </c>
      <c r="G343" s="102">
        <f t="shared" si="18"/>
        <v>0</v>
      </c>
      <c r="H343" s="167">
        <f t="shared" si="19"/>
        <v>0</v>
      </c>
      <c r="I343" s="167">
        <f t="shared" si="19"/>
        <v>0</v>
      </c>
      <c r="J343" s="167">
        <f t="shared" si="19"/>
        <v>0</v>
      </c>
      <c r="K343" s="167">
        <f t="shared" si="19"/>
        <v>0</v>
      </c>
      <c r="L343" s="167">
        <f t="shared" si="19"/>
        <v>0</v>
      </c>
      <c r="M343" s="167">
        <f t="shared" si="19"/>
        <v>0</v>
      </c>
      <c r="O343" s="102">
        <f t="shared" si="20"/>
        <v>0</v>
      </c>
      <c r="P343" s="167">
        <f t="shared" si="21"/>
        <v>0</v>
      </c>
      <c r="Q343" s="167">
        <f t="shared" si="21"/>
        <v>0</v>
      </c>
      <c r="R343" s="167">
        <f t="shared" si="21"/>
        <v>0</v>
      </c>
      <c r="S343" s="167">
        <f t="shared" si="21"/>
        <v>0</v>
      </c>
      <c r="T343" s="167">
        <f t="shared" si="21"/>
        <v>0</v>
      </c>
      <c r="U343" s="167">
        <f t="shared" si="21"/>
        <v>0</v>
      </c>
    </row>
    <row r="344" spans="3:21" hidden="1" outlineLevel="2">
      <c r="C344" s="73" t="str">
        <v>SpareOfferA8</v>
      </c>
      <c r="D344" s="97" t="s">
        <v>189</v>
      </c>
      <c r="F344" s="148">
        <f t="shared" si="22"/>
        <v>0</v>
      </c>
      <c r="G344" s="102">
        <f t="shared" si="18"/>
        <v>0</v>
      </c>
      <c r="H344" s="167">
        <f t="shared" si="19"/>
        <v>0</v>
      </c>
      <c r="I344" s="167">
        <f t="shared" si="19"/>
        <v>0</v>
      </c>
      <c r="J344" s="167">
        <f t="shared" si="19"/>
        <v>0</v>
      </c>
      <c r="K344" s="167">
        <f t="shared" si="19"/>
        <v>0</v>
      </c>
      <c r="L344" s="167">
        <f t="shared" si="19"/>
        <v>0</v>
      </c>
      <c r="M344" s="167">
        <f t="shared" si="19"/>
        <v>0</v>
      </c>
      <c r="O344" s="102">
        <f t="shared" si="20"/>
        <v>0</v>
      </c>
      <c r="P344" s="167">
        <f t="shared" si="21"/>
        <v>0</v>
      </c>
      <c r="Q344" s="167">
        <f t="shared" si="21"/>
        <v>0</v>
      </c>
      <c r="R344" s="167">
        <f t="shared" si="21"/>
        <v>0</v>
      </c>
      <c r="S344" s="167">
        <f t="shared" si="21"/>
        <v>0</v>
      </c>
      <c r="T344" s="167">
        <f t="shared" si="21"/>
        <v>0</v>
      </c>
      <c r="U344" s="167">
        <f t="shared" si="21"/>
        <v>0</v>
      </c>
    </row>
    <row r="345" spans="3:21" hidden="1" outlineLevel="2">
      <c r="C345" s="73" t="str">
        <v>SpareOfferA9</v>
      </c>
      <c r="D345" s="97" t="s">
        <v>189</v>
      </c>
      <c r="F345" s="148">
        <f t="shared" si="22"/>
        <v>0</v>
      </c>
      <c r="G345" s="102">
        <f t="shared" si="18"/>
        <v>0</v>
      </c>
      <c r="H345" s="167">
        <f t="shared" si="19"/>
        <v>0</v>
      </c>
      <c r="I345" s="167">
        <f t="shared" si="19"/>
        <v>0</v>
      </c>
      <c r="J345" s="167">
        <f t="shared" si="19"/>
        <v>0</v>
      </c>
      <c r="K345" s="167">
        <f t="shared" si="19"/>
        <v>0</v>
      </c>
      <c r="L345" s="167">
        <f t="shared" si="19"/>
        <v>0</v>
      </c>
      <c r="M345" s="167">
        <f t="shared" si="19"/>
        <v>0</v>
      </c>
      <c r="O345" s="102">
        <f t="shared" si="20"/>
        <v>0</v>
      </c>
      <c r="P345" s="167">
        <f t="shared" si="21"/>
        <v>0</v>
      </c>
      <c r="Q345" s="167">
        <f t="shared" si="21"/>
        <v>0</v>
      </c>
      <c r="R345" s="167">
        <f t="shared" si="21"/>
        <v>0</v>
      </c>
      <c r="S345" s="167">
        <f t="shared" si="21"/>
        <v>0</v>
      </c>
      <c r="T345" s="167">
        <f t="shared" si="21"/>
        <v>0</v>
      </c>
      <c r="U345" s="167">
        <f t="shared" si="21"/>
        <v>0</v>
      </c>
    </row>
    <row r="346" spans="3:21" hidden="1" outlineLevel="2">
      <c r="C346" s="73" t="str">
        <v>SpareOfferA10</v>
      </c>
      <c r="D346" s="97" t="s">
        <v>189</v>
      </c>
      <c r="F346" s="148">
        <f t="shared" si="22"/>
        <v>0</v>
      </c>
      <c r="G346" s="102">
        <f t="shared" si="18"/>
        <v>0</v>
      </c>
      <c r="H346" s="167">
        <f t="shared" si="19"/>
        <v>0</v>
      </c>
      <c r="I346" s="167">
        <f t="shared" si="19"/>
        <v>0</v>
      </c>
      <c r="J346" s="167">
        <f t="shared" si="19"/>
        <v>0</v>
      </c>
      <c r="K346" s="167">
        <f t="shared" si="19"/>
        <v>0</v>
      </c>
      <c r="L346" s="167">
        <f t="shared" si="19"/>
        <v>0</v>
      </c>
      <c r="M346" s="167">
        <f t="shared" si="19"/>
        <v>0</v>
      </c>
      <c r="O346" s="102">
        <f t="shared" si="20"/>
        <v>0</v>
      </c>
      <c r="P346" s="167">
        <f t="shared" si="21"/>
        <v>0</v>
      </c>
      <c r="Q346" s="167">
        <f t="shared" si="21"/>
        <v>0</v>
      </c>
      <c r="R346" s="167">
        <f t="shared" si="21"/>
        <v>0</v>
      </c>
      <c r="S346" s="167">
        <f t="shared" si="21"/>
        <v>0</v>
      </c>
      <c r="T346" s="167">
        <f t="shared" si="21"/>
        <v>0</v>
      </c>
      <c r="U346" s="167">
        <f t="shared" si="21"/>
        <v>0</v>
      </c>
    </row>
    <row r="347" spans="3:21" hidden="1" outlineLevel="2">
      <c r="C347" s="73" t="str">
        <v>SpareOfferA11</v>
      </c>
      <c r="D347" s="97" t="s">
        <v>189</v>
      </c>
      <c r="F347" s="148">
        <f t="shared" si="22"/>
        <v>0</v>
      </c>
      <c r="G347" s="102">
        <f t="shared" si="18"/>
        <v>0</v>
      </c>
      <c r="H347" s="167">
        <f t="shared" ref="H347:M356" si="23">H$26*H191</f>
        <v>0</v>
      </c>
      <c r="I347" s="167">
        <f t="shared" si="23"/>
        <v>0</v>
      </c>
      <c r="J347" s="167">
        <f t="shared" si="23"/>
        <v>0</v>
      </c>
      <c r="K347" s="167">
        <f t="shared" si="23"/>
        <v>0</v>
      </c>
      <c r="L347" s="167">
        <f t="shared" si="23"/>
        <v>0</v>
      </c>
      <c r="M347" s="167">
        <f t="shared" si="23"/>
        <v>0</v>
      </c>
      <c r="O347" s="102">
        <f t="shared" si="20"/>
        <v>0</v>
      </c>
      <c r="P347" s="167">
        <f t="shared" ref="P347:U356" si="24">P$26*P191</f>
        <v>0</v>
      </c>
      <c r="Q347" s="167">
        <f t="shared" si="24"/>
        <v>0</v>
      </c>
      <c r="R347" s="167">
        <f t="shared" si="24"/>
        <v>0</v>
      </c>
      <c r="S347" s="167">
        <f t="shared" si="24"/>
        <v>0</v>
      </c>
      <c r="T347" s="167">
        <f t="shared" si="24"/>
        <v>0</v>
      </c>
      <c r="U347" s="167">
        <f t="shared" si="24"/>
        <v>0</v>
      </c>
    </row>
    <row r="348" spans="3:21" hidden="1" outlineLevel="2">
      <c r="C348" s="73" t="str">
        <v>SpareOfferA12</v>
      </c>
      <c r="D348" s="97" t="s">
        <v>189</v>
      </c>
      <c r="F348" s="148">
        <f t="shared" si="22"/>
        <v>0</v>
      </c>
      <c r="G348" s="102">
        <f t="shared" si="18"/>
        <v>0</v>
      </c>
      <c r="H348" s="167">
        <f t="shared" si="23"/>
        <v>0</v>
      </c>
      <c r="I348" s="167">
        <f t="shared" si="23"/>
        <v>0</v>
      </c>
      <c r="J348" s="167">
        <f t="shared" si="23"/>
        <v>0</v>
      </c>
      <c r="K348" s="167">
        <f t="shared" si="23"/>
        <v>0</v>
      </c>
      <c r="L348" s="167">
        <f t="shared" si="23"/>
        <v>0</v>
      </c>
      <c r="M348" s="167">
        <f t="shared" si="23"/>
        <v>0</v>
      </c>
      <c r="O348" s="102">
        <f t="shared" si="20"/>
        <v>0</v>
      </c>
      <c r="P348" s="167">
        <f t="shared" si="24"/>
        <v>0</v>
      </c>
      <c r="Q348" s="167">
        <f t="shared" si="24"/>
        <v>0</v>
      </c>
      <c r="R348" s="167">
        <f t="shared" si="24"/>
        <v>0</v>
      </c>
      <c r="S348" s="167">
        <f t="shared" si="24"/>
        <v>0</v>
      </c>
      <c r="T348" s="167">
        <f t="shared" si="24"/>
        <v>0</v>
      </c>
      <c r="U348" s="167">
        <f t="shared" si="24"/>
        <v>0</v>
      </c>
    </row>
    <row r="349" spans="3:21" hidden="1" outlineLevel="2">
      <c r="C349" s="73" t="str">
        <v>SpareOfferA13</v>
      </c>
      <c r="D349" s="97" t="s">
        <v>189</v>
      </c>
      <c r="F349" s="148">
        <f t="shared" si="22"/>
        <v>0</v>
      </c>
      <c r="G349" s="102">
        <f t="shared" si="18"/>
        <v>0</v>
      </c>
      <c r="H349" s="167">
        <f t="shared" si="23"/>
        <v>0</v>
      </c>
      <c r="I349" s="167">
        <f t="shared" si="23"/>
        <v>0</v>
      </c>
      <c r="J349" s="167">
        <f t="shared" si="23"/>
        <v>0</v>
      </c>
      <c r="K349" s="167">
        <f t="shared" si="23"/>
        <v>0</v>
      </c>
      <c r="L349" s="167">
        <f t="shared" si="23"/>
        <v>0</v>
      </c>
      <c r="M349" s="167">
        <f t="shared" si="23"/>
        <v>0</v>
      </c>
      <c r="O349" s="102">
        <f t="shared" si="20"/>
        <v>0</v>
      </c>
      <c r="P349" s="167">
        <f t="shared" si="24"/>
        <v>0</v>
      </c>
      <c r="Q349" s="167">
        <f t="shared" si="24"/>
        <v>0</v>
      </c>
      <c r="R349" s="167">
        <f t="shared" si="24"/>
        <v>0</v>
      </c>
      <c r="S349" s="167">
        <f t="shared" si="24"/>
        <v>0</v>
      </c>
      <c r="T349" s="167">
        <f t="shared" si="24"/>
        <v>0</v>
      </c>
      <c r="U349" s="167">
        <f t="shared" si="24"/>
        <v>0</v>
      </c>
    </row>
    <row r="350" spans="3:21" hidden="1" outlineLevel="2">
      <c r="C350" s="73" t="str">
        <v>SpareOfferA14</v>
      </c>
      <c r="D350" s="97" t="s">
        <v>189</v>
      </c>
      <c r="F350" s="148">
        <f t="shared" si="22"/>
        <v>0</v>
      </c>
      <c r="G350" s="102">
        <f t="shared" si="18"/>
        <v>0</v>
      </c>
      <c r="H350" s="167">
        <f t="shared" si="23"/>
        <v>0</v>
      </c>
      <c r="I350" s="167">
        <f t="shared" si="23"/>
        <v>0</v>
      </c>
      <c r="J350" s="167">
        <f t="shared" si="23"/>
        <v>0</v>
      </c>
      <c r="K350" s="167">
        <f t="shared" si="23"/>
        <v>0</v>
      </c>
      <c r="L350" s="167">
        <f t="shared" si="23"/>
        <v>0</v>
      </c>
      <c r="M350" s="167">
        <f t="shared" si="23"/>
        <v>0</v>
      </c>
      <c r="O350" s="102">
        <f t="shared" si="20"/>
        <v>0</v>
      </c>
      <c r="P350" s="167">
        <f t="shared" si="24"/>
        <v>0</v>
      </c>
      <c r="Q350" s="167">
        <f t="shared" si="24"/>
        <v>0</v>
      </c>
      <c r="R350" s="167">
        <f t="shared" si="24"/>
        <v>0</v>
      </c>
      <c r="S350" s="167">
        <f t="shared" si="24"/>
        <v>0</v>
      </c>
      <c r="T350" s="167">
        <f t="shared" si="24"/>
        <v>0</v>
      </c>
      <c r="U350" s="167">
        <f t="shared" si="24"/>
        <v>0</v>
      </c>
    </row>
    <row r="351" spans="3:21" hidden="1" outlineLevel="2">
      <c r="C351" s="73" t="str">
        <v>SpareOfferA15</v>
      </c>
      <c r="D351" s="97" t="s">
        <v>189</v>
      </c>
      <c r="F351" s="148">
        <f t="shared" si="22"/>
        <v>0</v>
      </c>
      <c r="G351" s="102">
        <f t="shared" si="18"/>
        <v>0</v>
      </c>
      <c r="H351" s="167">
        <f t="shared" si="23"/>
        <v>0</v>
      </c>
      <c r="I351" s="167">
        <f t="shared" si="23"/>
        <v>0</v>
      </c>
      <c r="J351" s="167">
        <f t="shared" si="23"/>
        <v>0</v>
      </c>
      <c r="K351" s="167">
        <f t="shared" si="23"/>
        <v>0</v>
      </c>
      <c r="L351" s="167">
        <f t="shared" si="23"/>
        <v>0</v>
      </c>
      <c r="M351" s="167">
        <f t="shared" si="23"/>
        <v>0</v>
      </c>
      <c r="O351" s="102">
        <f t="shared" si="20"/>
        <v>0</v>
      </c>
      <c r="P351" s="167">
        <f t="shared" si="24"/>
        <v>0</v>
      </c>
      <c r="Q351" s="167">
        <f t="shared" si="24"/>
        <v>0</v>
      </c>
      <c r="R351" s="167">
        <f t="shared" si="24"/>
        <v>0</v>
      </c>
      <c r="S351" s="167">
        <f t="shared" si="24"/>
        <v>0</v>
      </c>
      <c r="T351" s="167">
        <f t="shared" si="24"/>
        <v>0</v>
      </c>
      <c r="U351" s="167">
        <f t="shared" si="24"/>
        <v>0</v>
      </c>
    </row>
    <row r="352" spans="3:21" hidden="1" outlineLevel="2">
      <c r="C352" s="73" t="str">
        <v>SpareOfferA16</v>
      </c>
      <c r="D352" s="97" t="s">
        <v>189</v>
      </c>
      <c r="F352" s="148">
        <f t="shared" si="22"/>
        <v>0</v>
      </c>
      <c r="G352" s="102">
        <f t="shared" si="18"/>
        <v>0</v>
      </c>
      <c r="H352" s="167">
        <f t="shared" si="23"/>
        <v>0</v>
      </c>
      <c r="I352" s="167">
        <f t="shared" si="23"/>
        <v>0</v>
      </c>
      <c r="J352" s="167">
        <f t="shared" si="23"/>
        <v>0</v>
      </c>
      <c r="K352" s="167">
        <f t="shared" si="23"/>
        <v>0</v>
      </c>
      <c r="L352" s="167">
        <f t="shared" si="23"/>
        <v>0</v>
      </c>
      <c r="M352" s="167">
        <f t="shared" si="23"/>
        <v>0</v>
      </c>
      <c r="O352" s="102">
        <f t="shared" si="20"/>
        <v>0</v>
      </c>
      <c r="P352" s="167">
        <f t="shared" si="24"/>
        <v>0</v>
      </c>
      <c r="Q352" s="167">
        <f t="shared" si="24"/>
        <v>0</v>
      </c>
      <c r="R352" s="167">
        <f t="shared" si="24"/>
        <v>0</v>
      </c>
      <c r="S352" s="167">
        <f t="shared" si="24"/>
        <v>0</v>
      </c>
      <c r="T352" s="167">
        <f t="shared" si="24"/>
        <v>0</v>
      </c>
      <c r="U352" s="167">
        <f t="shared" si="24"/>
        <v>0</v>
      </c>
    </row>
    <row r="353" spans="3:21" hidden="1" outlineLevel="2">
      <c r="C353" s="73" t="str">
        <v>SpareOfferA17</v>
      </c>
      <c r="D353" s="97" t="s">
        <v>189</v>
      </c>
      <c r="F353" s="148">
        <f t="shared" si="22"/>
        <v>0</v>
      </c>
      <c r="G353" s="102">
        <f t="shared" si="18"/>
        <v>0</v>
      </c>
      <c r="H353" s="167">
        <f t="shared" si="23"/>
        <v>0</v>
      </c>
      <c r="I353" s="167">
        <f t="shared" si="23"/>
        <v>0</v>
      </c>
      <c r="J353" s="167">
        <f t="shared" si="23"/>
        <v>0</v>
      </c>
      <c r="K353" s="167">
        <f t="shared" si="23"/>
        <v>0</v>
      </c>
      <c r="L353" s="167">
        <f t="shared" si="23"/>
        <v>0</v>
      </c>
      <c r="M353" s="167">
        <f t="shared" si="23"/>
        <v>0</v>
      </c>
      <c r="O353" s="102">
        <f t="shared" si="20"/>
        <v>0</v>
      </c>
      <c r="P353" s="167">
        <f t="shared" si="24"/>
        <v>0</v>
      </c>
      <c r="Q353" s="167">
        <f t="shared" si="24"/>
        <v>0</v>
      </c>
      <c r="R353" s="167">
        <f t="shared" si="24"/>
        <v>0</v>
      </c>
      <c r="S353" s="167">
        <f t="shared" si="24"/>
        <v>0</v>
      </c>
      <c r="T353" s="167">
        <f t="shared" si="24"/>
        <v>0</v>
      </c>
      <c r="U353" s="167">
        <f t="shared" si="24"/>
        <v>0</v>
      </c>
    </row>
    <row r="354" spans="3:21" hidden="1" outlineLevel="2">
      <c r="C354" s="73" t="str">
        <v>SpareOfferA18</v>
      </c>
      <c r="D354" s="97" t="s">
        <v>189</v>
      </c>
      <c r="F354" s="148">
        <f t="shared" si="22"/>
        <v>0</v>
      </c>
      <c r="G354" s="102">
        <f t="shared" si="18"/>
        <v>0</v>
      </c>
      <c r="H354" s="167">
        <f t="shared" si="23"/>
        <v>0</v>
      </c>
      <c r="I354" s="167">
        <f t="shared" si="23"/>
        <v>0</v>
      </c>
      <c r="J354" s="167">
        <f t="shared" si="23"/>
        <v>0</v>
      </c>
      <c r="K354" s="167">
        <f t="shared" si="23"/>
        <v>0</v>
      </c>
      <c r="L354" s="167">
        <f t="shared" si="23"/>
        <v>0</v>
      </c>
      <c r="M354" s="167">
        <f t="shared" si="23"/>
        <v>0</v>
      </c>
      <c r="O354" s="102">
        <f t="shared" si="20"/>
        <v>0</v>
      </c>
      <c r="P354" s="167">
        <f t="shared" si="24"/>
        <v>0</v>
      </c>
      <c r="Q354" s="167">
        <f t="shared" si="24"/>
        <v>0</v>
      </c>
      <c r="R354" s="167">
        <f t="shared" si="24"/>
        <v>0</v>
      </c>
      <c r="S354" s="167">
        <f t="shared" si="24"/>
        <v>0</v>
      </c>
      <c r="T354" s="167">
        <f t="shared" si="24"/>
        <v>0</v>
      </c>
      <c r="U354" s="167">
        <f t="shared" si="24"/>
        <v>0</v>
      </c>
    </row>
    <row r="355" spans="3:21" hidden="1" outlineLevel="2">
      <c r="C355" s="73" t="str">
        <v>SpareOfferA19</v>
      </c>
      <c r="D355" s="97" t="s">
        <v>189</v>
      </c>
      <c r="F355" s="148">
        <f t="shared" si="22"/>
        <v>0</v>
      </c>
      <c r="G355" s="102">
        <f t="shared" si="18"/>
        <v>0</v>
      </c>
      <c r="H355" s="167">
        <f t="shared" si="23"/>
        <v>0</v>
      </c>
      <c r="I355" s="167">
        <f t="shared" si="23"/>
        <v>0</v>
      </c>
      <c r="J355" s="167">
        <f t="shared" si="23"/>
        <v>0</v>
      </c>
      <c r="K355" s="167">
        <f t="shared" si="23"/>
        <v>0</v>
      </c>
      <c r="L355" s="167">
        <f t="shared" si="23"/>
        <v>0</v>
      </c>
      <c r="M355" s="167">
        <f t="shared" si="23"/>
        <v>0</v>
      </c>
      <c r="O355" s="102">
        <f t="shared" si="20"/>
        <v>0</v>
      </c>
      <c r="P355" s="167">
        <f t="shared" si="24"/>
        <v>0</v>
      </c>
      <c r="Q355" s="167">
        <f t="shared" si="24"/>
        <v>0</v>
      </c>
      <c r="R355" s="167">
        <f t="shared" si="24"/>
        <v>0</v>
      </c>
      <c r="S355" s="167">
        <f t="shared" si="24"/>
        <v>0</v>
      </c>
      <c r="T355" s="167">
        <f t="shared" si="24"/>
        <v>0</v>
      </c>
      <c r="U355" s="167">
        <f t="shared" si="24"/>
        <v>0</v>
      </c>
    </row>
    <row r="356" spans="3:21" hidden="1" outlineLevel="2">
      <c r="C356" s="73" t="str">
        <v>SpareOfferA20</v>
      </c>
      <c r="D356" s="97" t="s">
        <v>189</v>
      </c>
      <c r="F356" s="148">
        <f t="shared" si="22"/>
        <v>0</v>
      </c>
      <c r="G356" s="102">
        <f t="shared" si="18"/>
        <v>0</v>
      </c>
      <c r="H356" s="167">
        <f t="shared" si="23"/>
        <v>0</v>
      </c>
      <c r="I356" s="167">
        <f t="shared" si="23"/>
        <v>0</v>
      </c>
      <c r="J356" s="167">
        <f t="shared" si="23"/>
        <v>0</v>
      </c>
      <c r="K356" s="167">
        <f t="shared" si="23"/>
        <v>0</v>
      </c>
      <c r="L356" s="167">
        <f t="shared" si="23"/>
        <v>0</v>
      </c>
      <c r="M356" s="167">
        <f t="shared" si="23"/>
        <v>0</v>
      </c>
      <c r="O356" s="102">
        <f t="shared" si="20"/>
        <v>0</v>
      </c>
      <c r="P356" s="167">
        <f t="shared" si="24"/>
        <v>0</v>
      </c>
      <c r="Q356" s="167">
        <f t="shared" si="24"/>
        <v>0</v>
      </c>
      <c r="R356" s="167">
        <f t="shared" si="24"/>
        <v>0</v>
      </c>
      <c r="S356" s="167">
        <f t="shared" si="24"/>
        <v>0</v>
      </c>
      <c r="T356" s="167">
        <f t="shared" si="24"/>
        <v>0</v>
      </c>
      <c r="U356" s="167">
        <f t="shared" si="24"/>
        <v>0</v>
      </c>
    </row>
    <row r="357" spans="3:21" hidden="1" outlineLevel="2">
      <c r="C357" s="73" t="str">
        <v>SpareOfferA21</v>
      </c>
      <c r="D357" s="97" t="s">
        <v>189</v>
      </c>
      <c r="F357" s="148">
        <f t="shared" si="22"/>
        <v>0</v>
      </c>
      <c r="G357" s="102">
        <f t="shared" si="18"/>
        <v>0</v>
      </c>
      <c r="H357" s="167">
        <f t="shared" ref="H357:M366" si="25">H$26*H201</f>
        <v>0</v>
      </c>
      <c r="I357" s="167">
        <f t="shared" si="25"/>
        <v>0</v>
      </c>
      <c r="J357" s="167">
        <f t="shared" si="25"/>
        <v>0</v>
      </c>
      <c r="K357" s="167">
        <f t="shared" si="25"/>
        <v>0</v>
      </c>
      <c r="L357" s="167">
        <f t="shared" si="25"/>
        <v>0</v>
      </c>
      <c r="M357" s="167">
        <f t="shared" si="25"/>
        <v>0</v>
      </c>
      <c r="O357" s="102">
        <f t="shared" si="20"/>
        <v>0</v>
      </c>
      <c r="P357" s="167">
        <f t="shared" ref="P357:U366" si="26">P$26*P201</f>
        <v>0</v>
      </c>
      <c r="Q357" s="167">
        <f t="shared" si="26"/>
        <v>0</v>
      </c>
      <c r="R357" s="167">
        <f t="shared" si="26"/>
        <v>0</v>
      </c>
      <c r="S357" s="167">
        <f t="shared" si="26"/>
        <v>0</v>
      </c>
      <c r="T357" s="167">
        <f t="shared" si="26"/>
        <v>0</v>
      </c>
      <c r="U357" s="167">
        <f t="shared" si="26"/>
        <v>0</v>
      </c>
    </row>
    <row r="358" spans="3:21" hidden="1" outlineLevel="2">
      <c r="C358" s="73" t="str">
        <v>SpareOfferA22</v>
      </c>
      <c r="D358" s="97" t="s">
        <v>189</v>
      </c>
      <c r="F358" s="148">
        <f t="shared" si="22"/>
        <v>0</v>
      </c>
      <c r="G358" s="102">
        <f t="shared" si="18"/>
        <v>0</v>
      </c>
      <c r="H358" s="167">
        <f t="shared" si="25"/>
        <v>0</v>
      </c>
      <c r="I358" s="167">
        <f t="shared" si="25"/>
        <v>0</v>
      </c>
      <c r="J358" s="167">
        <f t="shared" si="25"/>
        <v>0</v>
      </c>
      <c r="K358" s="167">
        <f t="shared" si="25"/>
        <v>0</v>
      </c>
      <c r="L358" s="167">
        <f t="shared" si="25"/>
        <v>0</v>
      </c>
      <c r="M358" s="167">
        <f t="shared" si="25"/>
        <v>0</v>
      </c>
      <c r="O358" s="102">
        <f t="shared" si="20"/>
        <v>0</v>
      </c>
      <c r="P358" s="167">
        <f t="shared" si="26"/>
        <v>0</v>
      </c>
      <c r="Q358" s="167">
        <f t="shared" si="26"/>
        <v>0</v>
      </c>
      <c r="R358" s="167">
        <f t="shared" si="26"/>
        <v>0</v>
      </c>
      <c r="S358" s="167">
        <f t="shared" si="26"/>
        <v>0</v>
      </c>
      <c r="T358" s="167">
        <f t="shared" si="26"/>
        <v>0</v>
      </c>
      <c r="U358" s="167">
        <f t="shared" si="26"/>
        <v>0</v>
      </c>
    </row>
    <row r="359" spans="3:21" hidden="1" outlineLevel="2">
      <c r="C359" s="73" t="str">
        <v>SpareOfferA23</v>
      </c>
      <c r="D359" s="97" t="s">
        <v>189</v>
      </c>
      <c r="F359" s="148">
        <f t="shared" si="22"/>
        <v>0</v>
      </c>
      <c r="G359" s="102">
        <f t="shared" si="18"/>
        <v>0</v>
      </c>
      <c r="H359" s="167">
        <f t="shared" si="25"/>
        <v>0</v>
      </c>
      <c r="I359" s="167">
        <f t="shared" si="25"/>
        <v>0</v>
      </c>
      <c r="J359" s="167">
        <f t="shared" si="25"/>
        <v>0</v>
      </c>
      <c r="K359" s="167">
        <f t="shared" si="25"/>
        <v>0</v>
      </c>
      <c r="L359" s="167">
        <f t="shared" si="25"/>
        <v>0</v>
      </c>
      <c r="M359" s="167">
        <f t="shared" si="25"/>
        <v>0</v>
      </c>
      <c r="O359" s="102">
        <f t="shared" si="20"/>
        <v>0</v>
      </c>
      <c r="P359" s="167">
        <f t="shared" si="26"/>
        <v>0</v>
      </c>
      <c r="Q359" s="167">
        <f t="shared" si="26"/>
        <v>0</v>
      </c>
      <c r="R359" s="167">
        <f t="shared" si="26"/>
        <v>0</v>
      </c>
      <c r="S359" s="167">
        <f t="shared" si="26"/>
        <v>0</v>
      </c>
      <c r="T359" s="167">
        <f t="shared" si="26"/>
        <v>0</v>
      </c>
      <c r="U359" s="167">
        <f t="shared" si="26"/>
        <v>0</v>
      </c>
    </row>
    <row r="360" spans="3:21" hidden="1" outlineLevel="2">
      <c r="C360" s="73" t="str">
        <v>SpareOfferA24</v>
      </c>
      <c r="D360" s="97" t="s">
        <v>189</v>
      </c>
      <c r="F360" s="148">
        <f t="shared" si="22"/>
        <v>0</v>
      </c>
      <c r="G360" s="102">
        <f t="shared" si="18"/>
        <v>0</v>
      </c>
      <c r="H360" s="167">
        <f t="shared" si="25"/>
        <v>0</v>
      </c>
      <c r="I360" s="167">
        <f t="shared" si="25"/>
        <v>0</v>
      </c>
      <c r="J360" s="167">
        <f t="shared" si="25"/>
        <v>0</v>
      </c>
      <c r="K360" s="167">
        <f t="shared" si="25"/>
        <v>0</v>
      </c>
      <c r="L360" s="167">
        <f t="shared" si="25"/>
        <v>0</v>
      </c>
      <c r="M360" s="167">
        <f t="shared" si="25"/>
        <v>0</v>
      </c>
      <c r="O360" s="102">
        <f t="shared" si="20"/>
        <v>0</v>
      </c>
      <c r="P360" s="167">
        <f t="shared" si="26"/>
        <v>0</v>
      </c>
      <c r="Q360" s="167">
        <f t="shared" si="26"/>
        <v>0</v>
      </c>
      <c r="R360" s="167">
        <f t="shared" si="26"/>
        <v>0</v>
      </c>
      <c r="S360" s="167">
        <f t="shared" si="26"/>
        <v>0</v>
      </c>
      <c r="T360" s="167">
        <f t="shared" si="26"/>
        <v>0</v>
      </c>
      <c r="U360" s="167">
        <f t="shared" si="26"/>
        <v>0</v>
      </c>
    </row>
    <row r="361" spans="3:21" hidden="1" outlineLevel="2">
      <c r="C361" s="73" t="str">
        <v>SpareOfferA25</v>
      </c>
      <c r="D361" s="97" t="s">
        <v>189</v>
      </c>
      <c r="F361" s="148">
        <f t="shared" si="22"/>
        <v>0</v>
      </c>
      <c r="G361" s="102">
        <f t="shared" si="18"/>
        <v>0</v>
      </c>
      <c r="H361" s="167">
        <f t="shared" si="25"/>
        <v>0</v>
      </c>
      <c r="I361" s="167">
        <f t="shared" si="25"/>
        <v>0</v>
      </c>
      <c r="J361" s="167">
        <f t="shared" si="25"/>
        <v>0</v>
      </c>
      <c r="K361" s="167">
        <f t="shared" si="25"/>
        <v>0</v>
      </c>
      <c r="L361" s="167">
        <f t="shared" si="25"/>
        <v>0</v>
      </c>
      <c r="M361" s="167">
        <f t="shared" si="25"/>
        <v>0</v>
      </c>
      <c r="O361" s="102">
        <f t="shared" si="20"/>
        <v>0</v>
      </c>
      <c r="P361" s="167">
        <f t="shared" si="26"/>
        <v>0</v>
      </c>
      <c r="Q361" s="167">
        <f t="shared" si="26"/>
        <v>0</v>
      </c>
      <c r="R361" s="167">
        <f t="shared" si="26"/>
        <v>0</v>
      </c>
      <c r="S361" s="167">
        <f t="shared" si="26"/>
        <v>0</v>
      </c>
      <c r="T361" s="167">
        <f t="shared" si="26"/>
        <v>0</v>
      </c>
      <c r="U361" s="167">
        <f t="shared" si="26"/>
        <v>0</v>
      </c>
    </row>
    <row r="362" spans="3:21" hidden="1" outlineLevel="2">
      <c r="C362" s="73" t="str">
        <v>SpareOfferA26</v>
      </c>
      <c r="D362" s="97" t="s">
        <v>189</v>
      </c>
      <c r="F362" s="148">
        <f t="shared" si="22"/>
        <v>0</v>
      </c>
      <c r="G362" s="102">
        <f t="shared" si="18"/>
        <v>0</v>
      </c>
      <c r="H362" s="167">
        <f t="shared" si="25"/>
        <v>0</v>
      </c>
      <c r="I362" s="167">
        <f t="shared" si="25"/>
        <v>0</v>
      </c>
      <c r="J362" s="167">
        <f t="shared" si="25"/>
        <v>0</v>
      </c>
      <c r="K362" s="167">
        <f t="shared" si="25"/>
        <v>0</v>
      </c>
      <c r="L362" s="167">
        <f t="shared" si="25"/>
        <v>0</v>
      </c>
      <c r="M362" s="167">
        <f t="shared" si="25"/>
        <v>0</v>
      </c>
      <c r="O362" s="102">
        <f t="shared" si="20"/>
        <v>0</v>
      </c>
      <c r="P362" s="167">
        <f t="shared" si="26"/>
        <v>0</v>
      </c>
      <c r="Q362" s="167">
        <f t="shared" si="26"/>
        <v>0</v>
      </c>
      <c r="R362" s="167">
        <f t="shared" si="26"/>
        <v>0</v>
      </c>
      <c r="S362" s="167">
        <f t="shared" si="26"/>
        <v>0</v>
      </c>
      <c r="T362" s="167">
        <f t="shared" si="26"/>
        <v>0</v>
      </c>
      <c r="U362" s="167">
        <f t="shared" si="26"/>
        <v>0</v>
      </c>
    </row>
    <row r="363" spans="3:21" hidden="1" outlineLevel="2">
      <c r="C363" s="73" t="str">
        <v>SpareOfferA27</v>
      </c>
      <c r="D363" s="97" t="s">
        <v>189</v>
      </c>
      <c r="F363" s="148">
        <f t="shared" si="22"/>
        <v>0</v>
      </c>
      <c r="G363" s="102">
        <f t="shared" si="18"/>
        <v>0</v>
      </c>
      <c r="H363" s="167">
        <f t="shared" si="25"/>
        <v>0</v>
      </c>
      <c r="I363" s="167">
        <f t="shared" si="25"/>
        <v>0</v>
      </c>
      <c r="J363" s="167">
        <f t="shared" si="25"/>
        <v>0</v>
      </c>
      <c r="K363" s="167">
        <f t="shared" si="25"/>
        <v>0</v>
      </c>
      <c r="L363" s="167">
        <f t="shared" si="25"/>
        <v>0</v>
      </c>
      <c r="M363" s="167">
        <f t="shared" si="25"/>
        <v>0</v>
      </c>
      <c r="O363" s="102">
        <f t="shared" si="20"/>
        <v>0</v>
      </c>
      <c r="P363" s="167">
        <f t="shared" si="26"/>
        <v>0</v>
      </c>
      <c r="Q363" s="167">
        <f t="shared" si="26"/>
        <v>0</v>
      </c>
      <c r="R363" s="167">
        <f t="shared" si="26"/>
        <v>0</v>
      </c>
      <c r="S363" s="167">
        <f t="shared" si="26"/>
        <v>0</v>
      </c>
      <c r="T363" s="167">
        <f t="shared" si="26"/>
        <v>0</v>
      </c>
      <c r="U363" s="167">
        <f t="shared" si="26"/>
        <v>0</v>
      </c>
    </row>
    <row r="364" spans="3:21" hidden="1" outlineLevel="2">
      <c r="C364" s="73" t="str">
        <v>SpareOfferA28</v>
      </c>
      <c r="D364" s="97" t="s">
        <v>189</v>
      </c>
      <c r="F364" s="148">
        <f t="shared" si="22"/>
        <v>0</v>
      </c>
      <c r="G364" s="102">
        <f t="shared" si="18"/>
        <v>0</v>
      </c>
      <c r="H364" s="167">
        <f t="shared" si="25"/>
        <v>0</v>
      </c>
      <c r="I364" s="167">
        <f t="shared" si="25"/>
        <v>0</v>
      </c>
      <c r="J364" s="167">
        <f t="shared" si="25"/>
        <v>0</v>
      </c>
      <c r="K364" s="167">
        <f t="shared" si="25"/>
        <v>0</v>
      </c>
      <c r="L364" s="167">
        <f t="shared" si="25"/>
        <v>0</v>
      </c>
      <c r="M364" s="167">
        <f t="shared" si="25"/>
        <v>0</v>
      </c>
      <c r="O364" s="102">
        <f t="shared" si="20"/>
        <v>0</v>
      </c>
      <c r="P364" s="167">
        <f t="shared" si="26"/>
        <v>0</v>
      </c>
      <c r="Q364" s="167">
        <f t="shared" si="26"/>
        <v>0</v>
      </c>
      <c r="R364" s="167">
        <f t="shared" si="26"/>
        <v>0</v>
      </c>
      <c r="S364" s="167">
        <f t="shared" si="26"/>
        <v>0</v>
      </c>
      <c r="T364" s="167">
        <f t="shared" si="26"/>
        <v>0</v>
      </c>
      <c r="U364" s="167">
        <f t="shared" si="26"/>
        <v>0</v>
      </c>
    </row>
    <row r="365" spans="3:21" hidden="1" outlineLevel="2">
      <c r="C365" s="73" t="str">
        <v>SpareOfferA29</v>
      </c>
      <c r="D365" s="97" t="s">
        <v>189</v>
      </c>
      <c r="F365" s="148">
        <f t="shared" si="22"/>
        <v>0</v>
      </c>
      <c r="G365" s="102">
        <f t="shared" si="18"/>
        <v>0</v>
      </c>
      <c r="H365" s="167">
        <f t="shared" si="25"/>
        <v>0</v>
      </c>
      <c r="I365" s="167">
        <f t="shared" si="25"/>
        <v>0</v>
      </c>
      <c r="J365" s="167">
        <f t="shared" si="25"/>
        <v>0</v>
      </c>
      <c r="K365" s="167">
        <f t="shared" si="25"/>
        <v>0</v>
      </c>
      <c r="L365" s="167">
        <f t="shared" si="25"/>
        <v>0</v>
      </c>
      <c r="M365" s="167">
        <f t="shared" si="25"/>
        <v>0</v>
      </c>
      <c r="O365" s="102">
        <f t="shared" si="20"/>
        <v>0</v>
      </c>
      <c r="P365" s="167">
        <f t="shared" si="26"/>
        <v>0</v>
      </c>
      <c r="Q365" s="167">
        <f t="shared" si="26"/>
        <v>0</v>
      </c>
      <c r="R365" s="167">
        <f t="shared" si="26"/>
        <v>0</v>
      </c>
      <c r="S365" s="167">
        <f t="shared" si="26"/>
        <v>0</v>
      </c>
      <c r="T365" s="167">
        <f t="shared" si="26"/>
        <v>0</v>
      </c>
      <c r="U365" s="167">
        <f t="shared" si="26"/>
        <v>0</v>
      </c>
    </row>
    <row r="366" spans="3:21" hidden="1" outlineLevel="2">
      <c r="C366" s="73" t="str">
        <v>SpareOfferA30</v>
      </c>
      <c r="D366" s="97" t="s">
        <v>189</v>
      </c>
      <c r="F366" s="148">
        <f t="shared" si="22"/>
        <v>0</v>
      </c>
      <c r="G366" s="102">
        <f t="shared" si="18"/>
        <v>0</v>
      </c>
      <c r="H366" s="167">
        <f t="shared" si="25"/>
        <v>0</v>
      </c>
      <c r="I366" s="167">
        <f t="shared" si="25"/>
        <v>0</v>
      </c>
      <c r="J366" s="167">
        <f t="shared" si="25"/>
        <v>0</v>
      </c>
      <c r="K366" s="167">
        <f t="shared" si="25"/>
        <v>0</v>
      </c>
      <c r="L366" s="167">
        <f t="shared" si="25"/>
        <v>0</v>
      </c>
      <c r="M366" s="167">
        <f t="shared" si="25"/>
        <v>0</v>
      </c>
      <c r="O366" s="102">
        <f t="shared" si="20"/>
        <v>0</v>
      </c>
      <c r="P366" s="167">
        <f t="shared" si="26"/>
        <v>0</v>
      </c>
      <c r="Q366" s="167">
        <f t="shared" si="26"/>
        <v>0</v>
      </c>
      <c r="R366" s="167">
        <f t="shared" si="26"/>
        <v>0</v>
      </c>
      <c r="S366" s="167">
        <f t="shared" si="26"/>
        <v>0</v>
      </c>
      <c r="T366" s="167">
        <f t="shared" si="26"/>
        <v>0</v>
      </c>
      <c r="U366" s="167">
        <f t="shared" si="26"/>
        <v>0</v>
      </c>
    </row>
    <row r="367" spans="3:21" ht="12" hidden="1" customHeight="1" outlineLevel="2">
      <c r="C367" s="73" t="str">
        <v>SpareOfferA31</v>
      </c>
      <c r="D367" s="97" t="s">
        <v>189</v>
      </c>
      <c r="F367" s="148">
        <f t="shared" si="22"/>
        <v>0</v>
      </c>
      <c r="G367" s="102">
        <f t="shared" si="18"/>
        <v>0</v>
      </c>
      <c r="H367" s="167">
        <f t="shared" ref="H367:M371" si="27">H$26*H211</f>
        <v>0</v>
      </c>
      <c r="I367" s="167">
        <f t="shared" si="27"/>
        <v>0</v>
      </c>
      <c r="J367" s="167">
        <f t="shared" si="27"/>
        <v>0</v>
      </c>
      <c r="K367" s="167">
        <f t="shared" si="27"/>
        <v>0</v>
      </c>
      <c r="L367" s="167">
        <f t="shared" si="27"/>
        <v>0</v>
      </c>
      <c r="M367" s="167">
        <f t="shared" si="27"/>
        <v>0</v>
      </c>
      <c r="O367" s="102">
        <f t="shared" si="20"/>
        <v>0</v>
      </c>
      <c r="P367" s="167">
        <f t="shared" ref="P367:U371" si="28">P$26*P211</f>
        <v>0</v>
      </c>
      <c r="Q367" s="167">
        <f t="shared" si="28"/>
        <v>0</v>
      </c>
      <c r="R367" s="167">
        <f t="shared" si="28"/>
        <v>0</v>
      </c>
      <c r="S367" s="167">
        <f t="shared" si="28"/>
        <v>0</v>
      </c>
      <c r="T367" s="167">
        <f t="shared" si="28"/>
        <v>0</v>
      </c>
      <c r="U367" s="167">
        <f t="shared" si="28"/>
        <v>0</v>
      </c>
    </row>
    <row r="368" spans="3:21" hidden="1" outlineLevel="2">
      <c r="C368" s="73" t="str">
        <v>SpareOfferA32</v>
      </c>
      <c r="D368" s="97" t="s">
        <v>189</v>
      </c>
      <c r="F368" s="148">
        <f t="shared" si="22"/>
        <v>0</v>
      </c>
      <c r="G368" s="102">
        <f t="shared" si="18"/>
        <v>0</v>
      </c>
      <c r="H368" s="167">
        <f t="shared" si="27"/>
        <v>0</v>
      </c>
      <c r="I368" s="167">
        <f t="shared" si="27"/>
        <v>0</v>
      </c>
      <c r="J368" s="167">
        <f t="shared" si="27"/>
        <v>0</v>
      </c>
      <c r="K368" s="167">
        <f t="shared" si="27"/>
        <v>0</v>
      </c>
      <c r="L368" s="167">
        <f t="shared" si="27"/>
        <v>0</v>
      </c>
      <c r="M368" s="167">
        <f t="shared" si="27"/>
        <v>0</v>
      </c>
      <c r="O368" s="102">
        <f t="shared" si="20"/>
        <v>0</v>
      </c>
      <c r="P368" s="167">
        <f t="shared" si="28"/>
        <v>0</v>
      </c>
      <c r="Q368" s="167">
        <f t="shared" si="28"/>
        <v>0</v>
      </c>
      <c r="R368" s="167">
        <f t="shared" si="28"/>
        <v>0</v>
      </c>
      <c r="S368" s="167">
        <f t="shared" si="28"/>
        <v>0</v>
      </c>
      <c r="T368" s="167">
        <f t="shared" si="28"/>
        <v>0</v>
      </c>
      <c r="U368" s="167">
        <f t="shared" si="28"/>
        <v>0</v>
      </c>
    </row>
    <row r="369" spans="3:21" hidden="1" outlineLevel="2">
      <c r="C369" s="73" t="str">
        <v>SpareOfferA33</v>
      </c>
      <c r="D369" s="97" t="s">
        <v>189</v>
      </c>
      <c r="F369" s="148">
        <f t="shared" si="22"/>
        <v>0</v>
      </c>
      <c r="G369" s="102">
        <f t="shared" si="18"/>
        <v>0</v>
      </c>
      <c r="H369" s="167">
        <f t="shared" si="27"/>
        <v>0</v>
      </c>
      <c r="I369" s="167">
        <f t="shared" si="27"/>
        <v>0</v>
      </c>
      <c r="J369" s="167">
        <f t="shared" si="27"/>
        <v>0</v>
      </c>
      <c r="K369" s="167">
        <f t="shared" si="27"/>
        <v>0</v>
      </c>
      <c r="L369" s="167">
        <f t="shared" si="27"/>
        <v>0</v>
      </c>
      <c r="M369" s="167">
        <f t="shared" si="27"/>
        <v>0</v>
      </c>
      <c r="O369" s="102">
        <f t="shared" si="20"/>
        <v>0</v>
      </c>
      <c r="P369" s="167">
        <f t="shared" si="28"/>
        <v>0</v>
      </c>
      <c r="Q369" s="167">
        <f t="shared" si="28"/>
        <v>0</v>
      </c>
      <c r="R369" s="167">
        <f t="shared" si="28"/>
        <v>0</v>
      </c>
      <c r="S369" s="167">
        <f t="shared" si="28"/>
        <v>0</v>
      </c>
      <c r="T369" s="167">
        <f t="shared" si="28"/>
        <v>0</v>
      </c>
      <c r="U369" s="167">
        <f t="shared" si="28"/>
        <v>0</v>
      </c>
    </row>
    <row r="370" spans="3:21" hidden="1" outlineLevel="2">
      <c r="C370" s="73" t="str">
        <v>SpareOfferA34</v>
      </c>
      <c r="D370" s="97" t="s">
        <v>189</v>
      </c>
      <c r="F370" s="148">
        <f t="shared" si="22"/>
        <v>0</v>
      </c>
      <c r="G370" s="102">
        <f t="shared" si="18"/>
        <v>0</v>
      </c>
      <c r="H370" s="167">
        <f t="shared" si="27"/>
        <v>0</v>
      </c>
      <c r="I370" s="167">
        <f t="shared" si="27"/>
        <v>0</v>
      </c>
      <c r="J370" s="167">
        <f t="shared" si="27"/>
        <v>0</v>
      </c>
      <c r="K370" s="167">
        <f t="shared" si="27"/>
        <v>0</v>
      </c>
      <c r="L370" s="167">
        <f t="shared" si="27"/>
        <v>0</v>
      </c>
      <c r="M370" s="167">
        <f t="shared" si="27"/>
        <v>0</v>
      </c>
      <c r="O370" s="102">
        <f t="shared" si="20"/>
        <v>0</v>
      </c>
      <c r="P370" s="167">
        <f t="shared" si="28"/>
        <v>0</v>
      </c>
      <c r="Q370" s="167">
        <f t="shared" si="28"/>
        <v>0</v>
      </c>
      <c r="R370" s="167">
        <f t="shared" si="28"/>
        <v>0</v>
      </c>
      <c r="S370" s="167">
        <f t="shared" si="28"/>
        <v>0</v>
      </c>
      <c r="T370" s="167">
        <f t="shared" si="28"/>
        <v>0</v>
      </c>
      <c r="U370" s="167">
        <f t="shared" si="28"/>
        <v>0</v>
      </c>
    </row>
    <row r="371" spans="3:21" outlineLevel="1" collapsed="1">
      <c r="C371" s="73" t="str">
        <v>SpareOfferA35</v>
      </c>
      <c r="D371" s="97" t="s">
        <v>189</v>
      </c>
      <c r="F371" s="148">
        <f t="shared" si="22"/>
        <v>0</v>
      </c>
      <c r="G371" s="102">
        <f t="shared" si="18"/>
        <v>0</v>
      </c>
      <c r="H371" s="167">
        <f t="shared" si="27"/>
        <v>0</v>
      </c>
      <c r="I371" s="167">
        <f t="shared" si="27"/>
        <v>0</v>
      </c>
      <c r="J371" s="167">
        <f t="shared" si="27"/>
        <v>0</v>
      </c>
      <c r="K371" s="167">
        <f t="shared" si="27"/>
        <v>0</v>
      </c>
      <c r="L371" s="167">
        <f t="shared" si="27"/>
        <v>0</v>
      </c>
      <c r="M371" s="167">
        <f t="shared" si="27"/>
        <v>0</v>
      </c>
      <c r="O371" s="102">
        <f t="shared" si="20"/>
        <v>0</v>
      </c>
      <c r="P371" s="167">
        <f t="shared" si="28"/>
        <v>0</v>
      </c>
      <c r="Q371" s="167">
        <f t="shared" si="28"/>
        <v>0</v>
      </c>
      <c r="R371" s="167">
        <f t="shared" si="28"/>
        <v>0</v>
      </c>
      <c r="S371" s="167">
        <f t="shared" si="28"/>
        <v>0</v>
      </c>
      <c r="T371" s="167">
        <f t="shared" si="28"/>
        <v>0</v>
      </c>
      <c r="U371" s="167">
        <f t="shared" si="28"/>
        <v>0</v>
      </c>
    </row>
    <row r="372" spans="3:21" outlineLevel="1"/>
    <row r="373" spans="3:21" outlineLevel="1">
      <c r="C373" s="35" t="s">
        <v>316</v>
      </c>
      <c r="G373" s="165" t="s">
        <v>228</v>
      </c>
      <c r="H373" s="165"/>
      <c r="I373" s="165"/>
      <c r="J373" s="165"/>
      <c r="K373" s="165"/>
      <c r="L373" s="165"/>
      <c r="M373" s="165"/>
      <c r="N373" s="165"/>
      <c r="O373" s="165"/>
    </row>
    <row r="374" spans="3:21" ht="23" outlineLevel="1">
      <c r="F374" s="171" t="s">
        <v>320</v>
      </c>
      <c r="G374" s="95" t="str">
        <f t="array" ref="G374:O374">TRANSPOSE(wholesale.data.tiers)</f>
        <v>W/S spare tier 1</v>
      </c>
      <c r="H374" s="95" t="str">
        <v>W/S spare tier 2</v>
      </c>
      <c r="I374" s="95" t="str">
        <v>W/S spare tier 3</v>
      </c>
      <c r="J374" s="95" t="str">
        <v>W/S spare tier 4</v>
      </c>
      <c r="K374" s="95" t="str">
        <v>W/S spare tier 5</v>
      </c>
      <c r="L374" s="95" t="str">
        <v>W/S spare tier 6</v>
      </c>
      <c r="M374" s="95" t="str">
        <v>W/S spare tier 7</v>
      </c>
      <c r="N374" s="95" t="str">
        <v>W/S spare tier 8</v>
      </c>
      <c r="O374" s="95" t="str">
        <v>W/S spare tier 9</v>
      </c>
    </row>
    <row r="375" spans="3:21" outlineLevel="1">
      <c r="C375" s="91" t="s">
        <v>89</v>
      </c>
      <c r="D375" s="97" t="s">
        <v>189</v>
      </c>
      <c r="F375" s="114">
        <f>SUMPRODUCT(F376:F410,subscription.split.segment.1)</f>
        <v>0</v>
      </c>
      <c r="G375" s="114">
        <f t="shared" ref="G375:J375" si="29">SUMPRODUCT(G376:G410,subscription.split.segment.1)</f>
        <v>0</v>
      </c>
      <c r="H375" s="114">
        <f t="shared" si="29"/>
        <v>0</v>
      </c>
      <c r="I375" s="114">
        <f t="shared" si="29"/>
        <v>0</v>
      </c>
      <c r="J375" s="114">
        <f t="shared" si="29"/>
        <v>0</v>
      </c>
      <c r="K375" s="114">
        <f t="shared" ref="K375:O375" si="30">SUMPRODUCT(K376:K410,subscription.split.segment.1)</f>
        <v>0</v>
      </c>
      <c r="L375" s="114">
        <f t="shared" si="30"/>
        <v>0</v>
      </c>
      <c r="M375" s="114">
        <f t="shared" si="30"/>
        <v>0</v>
      </c>
      <c r="N375" s="114">
        <f t="shared" si="30"/>
        <v>0</v>
      </c>
      <c r="O375" s="114">
        <f t="shared" si="30"/>
        <v>0</v>
      </c>
    </row>
    <row r="376" spans="3:21" outlineLevel="1">
      <c r="C376" s="73" t="str">
        <f t="array" ref="C376:C410">offers.segment.1</f>
        <v>SpareOfferA1</v>
      </c>
      <c r="D376" s="97" t="s">
        <v>189</v>
      </c>
      <c r="F376" s="229">
        <f>SUM(G376:O376)</f>
        <v>0</v>
      </c>
      <c r="G376" s="161">
        <f>G220*G32</f>
        <v>0</v>
      </c>
      <c r="H376" s="161">
        <f t="shared" ref="H376:O376" si="31">H220*H32</f>
        <v>0</v>
      </c>
      <c r="I376" s="161">
        <f t="shared" si="31"/>
        <v>0</v>
      </c>
      <c r="J376" s="161">
        <f t="shared" si="31"/>
        <v>0</v>
      </c>
      <c r="K376" s="161">
        <f t="shared" si="31"/>
        <v>0</v>
      </c>
      <c r="L376" s="161">
        <f t="shared" si="31"/>
        <v>0</v>
      </c>
      <c r="M376" s="161">
        <f t="shared" si="31"/>
        <v>0</v>
      </c>
      <c r="N376" s="161">
        <f t="shared" si="31"/>
        <v>0</v>
      </c>
      <c r="O376" s="161">
        <f t="shared" si="31"/>
        <v>0</v>
      </c>
    </row>
    <row r="377" spans="3:21" hidden="1" outlineLevel="2">
      <c r="C377" s="73" t="str">
        <v>SpareOfferA2</v>
      </c>
      <c r="D377" s="97" t="s">
        <v>189</v>
      </c>
      <c r="F377" s="229">
        <f t="shared" ref="F377:F410" si="32">SUM(G377:O377)</f>
        <v>0</v>
      </c>
      <c r="G377" s="161">
        <f t="shared" ref="G377:O377" si="33">G221*G33</f>
        <v>0</v>
      </c>
      <c r="H377" s="161">
        <f t="shared" si="33"/>
        <v>0</v>
      </c>
      <c r="I377" s="161">
        <f t="shared" si="33"/>
        <v>0</v>
      </c>
      <c r="J377" s="161">
        <f t="shared" si="33"/>
        <v>0</v>
      </c>
      <c r="K377" s="161">
        <f t="shared" si="33"/>
        <v>0</v>
      </c>
      <c r="L377" s="161">
        <f t="shared" si="33"/>
        <v>0</v>
      </c>
      <c r="M377" s="161">
        <f t="shared" si="33"/>
        <v>0</v>
      </c>
      <c r="N377" s="161">
        <f t="shared" si="33"/>
        <v>0</v>
      </c>
      <c r="O377" s="161">
        <f t="shared" si="33"/>
        <v>0</v>
      </c>
    </row>
    <row r="378" spans="3:21" hidden="1" outlineLevel="2">
      <c r="C378" s="73" t="str">
        <v>SpareOfferA3</v>
      </c>
      <c r="D378" s="97" t="s">
        <v>189</v>
      </c>
      <c r="F378" s="229">
        <f t="shared" si="32"/>
        <v>0</v>
      </c>
      <c r="G378" s="161">
        <f t="shared" ref="G378:O378" si="34">G222*G34</f>
        <v>0</v>
      </c>
      <c r="H378" s="161">
        <f t="shared" si="34"/>
        <v>0</v>
      </c>
      <c r="I378" s="161">
        <f t="shared" si="34"/>
        <v>0</v>
      </c>
      <c r="J378" s="161">
        <f t="shared" si="34"/>
        <v>0</v>
      </c>
      <c r="K378" s="161">
        <f t="shared" si="34"/>
        <v>0</v>
      </c>
      <c r="L378" s="161">
        <f t="shared" si="34"/>
        <v>0</v>
      </c>
      <c r="M378" s="161">
        <f t="shared" si="34"/>
        <v>0</v>
      </c>
      <c r="N378" s="161">
        <f t="shared" si="34"/>
        <v>0</v>
      </c>
      <c r="O378" s="161">
        <f t="shared" si="34"/>
        <v>0</v>
      </c>
    </row>
    <row r="379" spans="3:21" hidden="1" outlineLevel="2">
      <c r="C379" s="73" t="str">
        <v>SpareOfferA4</v>
      </c>
      <c r="D379" s="97" t="s">
        <v>189</v>
      </c>
      <c r="F379" s="229">
        <f t="shared" si="32"/>
        <v>0</v>
      </c>
      <c r="G379" s="161">
        <f t="shared" ref="G379:O379" si="35">G223*G35</f>
        <v>0</v>
      </c>
      <c r="H379" s="161">
        <f t="shared" si="35"/>
        <v>0</v>
      </c>
      <c r="I379" s="161">
        <f t="shared" si="35"/>
        <v>0</v>
      </c>
      <c r="J379" s="161">
        <f t="shared" si="35"/>
        <v>0</v>
      </c>
      <c r="K379" s="161">
        <f t="shared" si="35"/>
        <v>0</v>
      </c>
      <c r="L379" s="161">
        <f t="shared" si="35"/>
        <v>0</v>
      </c>
      <c r="M379" s="161">
        <f t="shared" si="35"/>
        <v>0</v>
      </c>
      <c r="N379" s="161">
        <f t="shared" si="35"/>
        <v>0</v>
      </c>
      <c r="O379" s="161">
        <f t="shared" si="35"/>
        <v>0</v>
      </c>
    </row>
    <row r="380" spans="3:21" hidden="1" outlineLevel="2">
      <c r="C380" s="73" t="str">
        <v>SpareOfferA5</v>
      </c>
      <c r="D380" s="97" t="s">
        <v>189</v>
      </c>
      <c r="F380" s="229">
        <f t="shared" si="32"/>
        <v>0</v>
      </c>
      <c r="G380" s="161">
        <f t="shared" ref="G380:O380" si="36">G224*G36</f>
        <v>0</v>
      </c>
      <c r="H380" s="161">
        <f t="shared" si="36"/>
        <v>0</v>
      </c>
      <c r="I380" s="161">
        <f t="shared" si="36"/>
        <v>0</v>
      </c>
      <c r="J380" s="161">
        <f t="shared" si="36"/>
        <v>0</v>
      </c>
      <c r="K380" s="161">
        <f t="shared" si="36"/>
        <v>0</v>
      </c>
      <c r="L380" s="161">
        <f t="shared" si="36"/>
        <v>0</v>
      </c>
      <c r="M380" s="161">
        <f t="shared" si="36"/>
        <v>0</v>
      </c>
      <c r="N380" s="161">
        <f t="shared" si="36"/>
        <v>0</v>
      </c>
      <c r="O380" s="161">
        <f t="shared" si="36"/>
        <v>0</v>
      </c>
    </row>
    <row r="381" spans="3:21" hidden="1" outlineLevel="2">
      <c r="C381" s="73" t="str">
        <v>SpareOfferA6</v>
      </c>
      <c r="D381" s="97" t="s">
        <v>189</v>
      </c>
      <c r="F381" s="229">
        <f t="shared" si="32"/>
        <v>0</v>
      </c>
      <c r="G381" s="161">
        <f t="shared" ref="G381:O381" si="37">G225*G37</f>
        <v>0</v>
      </c>
      <c r="H381" s="161">
        <f t="shared" si="37"/>
        <v>0</v>
      </c>
      <c r="I381" s="161">
        <f t="shared" si="37"/>
        <v>0</v>
      </c>
      <c r="J381" s="161">
        <f t="shared" si="37"/>
        <v>0</v>
      </c>
      <c r="K381" s="161">
        <f t="shared" si="37"/>
        <v>0</v>
      </c>
      <c r="L381" s="161">
        <f t="shared" si="37"/>
        <v>0</v>
      </c>
      <c r="M381" s="161">
        <f t="shared" si="37"/>
        <v>0</v>
      </c>
      <c r="N381" s="161">
        <f t="shared" si="37"/>
        <v>0</v>
      </c>
      <c r="O381" s="161">
        <f t="shared" si="37"/>
        <v>0</v>
      </c>
    </row>
    <row r="382" spans="3:21" hidden="1" outlineLevel="2">
      <c r="C382" s="73" t="str">
        <v>SpareOfferA7</v>
      </c>
      <c r="D382" s="97" t="s">
        <v>189</v>
      </c>
      <c r="F382" s="229">
        <f t="shared" si="32"/>
        <v>0</v>
      </c>
      <c r="G382" s="161">
        <f t="shared" ref="G382:O382" si="38">G226*G38</f>
        <v>0</v>
      </c>
      <c r="H382" s="161">
        <f t="shared" si="38"/>
        <v>0</v>
      </c>
      <c r="I382" s="161">
        <f t="shared" si="38"/>
        <v>0</v>
      </c>
      <c r="J382" s="161">
        <f t="shared" si="38"/>
        <v>0</v>
      </c>
      <c r="K382" s="161">
        <f t="shared" si="38"/>
        <v>0</v>
      </c>
      <c r="L382" s="161">
        <f t="shared" si="38"/>
        <v>0</v>
      </c>
      <c r="M382" s="161">
        <f t="shared" si="38"/>
        <v>0</v>
      </c>
      <c r="N382" s="161">
        <f t="shared" si="38"/>
        <v>0</v>
      </c>
      <c r="O382" s="161">
        <f t="shared" si="38"/>
        <v>0</v>
      </c>
    </row>
    <row r="383" spans="3:21" hidden="1" outlineLevel="2">
      <c r="C383" s="73" t="str">
        <v>SpareOfferA8</v>
      </c>
      <c r="D383" s="97" t="s">
        <v>189</v>
      </c>
      <c r="F383" s="229">
        <f t="shared" si="32"/>
        <v>0</v>
      </c>
      <c r="G383" s="161">
        <f t="shared" ref="G383:O383" si="39">G227*G39</f>
        <v>0</v>
      </c>
      <c r="H383" s="161">
        <f t="shared" si="39"/>
        <v>0</v>
      </c>
      <c r="I383" s="161">
        <f t="shared" si="39"/>
        <v>0</v>
      </c>
      <c r="J383" s="161">
        <f t="shared" si="39"/>
        <v>0</v>
      </c>
      <c r="K383" s="161">
        <f t="shared" si="39"/>
        <v>0</v>
      </c>
      <c r="L383" s="161">
        <f t="shared" si="39"/>
        <v>0</v>
      </c>
      <c r="M383" s="161">
        <f t="shared" si="39"/>
        <v>0</v>
      </c>
      <c r="N383" s="161">
        <f t="shared" si="39"/>
        <v>0</v>
      </c>
      <c r="O383" s="161">
        <f t="shared" si="39"/>
        <v>0</v>
      </c>
    </row>
    <row r="384" spans="3:21" hidden="1" outlineLevel="2">
      <c r="C384" s="73" t="str">
        <v>SpareOfferA9</v>
      </c>
      <c r="D384" s="97" t="s">
        <v>189</v>
      </c>
      <c r="F384" s="229">
        <f t="shared" si="32"/>
        <v>0</v>
      </c>
      <c r="G384" s="161">
        <f t="shared" ref="G384:O384" si="40">G228*G40</f>
        <v>0</v>
      </c>
      <c r="H384" s="161">
        <f t="shared" si="40"/>
        <v>0</v>
      </c>
      <c r="I384" s="161">
        <f t="shared" si="40"/>
        <v>0</v>
      </c>
      <c r="J384" s="161">
        <f t="shared" si="40"/>
        <v>0</v>
      </c>
      <c r="K384" s="161">
        <f t="shared" si="40"/>
        <v>0</v>
      </c>
      <c r="L384" s="161">
        <f t="shared" si="40"/>
        <v>0</v>
      </c>
      <c r="M384" s="161">
        <f t="shared" si="40"/>
        <v>0</v>
      </c>
      <c r="N384" s="161">
        <f t="shared" si="40"/>
        <v>0</v>
      </c>
      <c r="O384" s="161">
        <f t="shared" si="40"/>
        <v>0</v>
      </c>
    </row>
    <row r="385" spans="3:15" hidden="1" outlineLevel="2">
      <c r="C385" s="73" t="str">
        <v>SpareOfferA10</v>
      </c>
      <c r="D385" s="97" t="s">
        <v>189</v>
      </c>
      <c r="F385" s="229">
        <f t="shared" si="32"/>
        <v>0</v>
      </c>
      <c r="G385" s="161">
        <f t="shared" ref="G385:O385" si="41">G229*G41</f>
        <v>0</v>
      </c>
      <c r="H385" s="161">
        <f t="shared" si="41"/>
        <v>0</v>
      </c>
      <c r="I385" s="161">
        <f t="shared" si="41"/>
        <v>0</v>
      </c>
      <c r="J385" s="161">
        <f t="shared" si="41"/>
        <v>0</v>
      </c>
      <c r="K385" s="161">
        <f t="shared" si="41"/>
        <v>0</v>
      </c>
      <c r="L385" s="161">
        <f t="shared" si="41"/>
        <v>0</v>
      </c>
      <c r="M385" s="161">
        <f t="shared" si="41"/>
        <v>0</v>
      </c>
      <c r="N385" s="161">
        <f t="shared" si="41"/>
        <v>0</v>
      </c>
      <c r="O385" s="161">
        <f t="shared" si="41"/>
        <v>0</v>
      </c>
    </row>
    <row r="386" spans="3:15" hidden="1" outlineLevel="2">
      <c r="C386" s="73" t="str">
        <v>SpareOfferA11</v>
      </c>
      <c r="D386" s="97" t="s">
        <v>189</v>
      </c>
      <c r="F386" s="229">
        <f t="shared" si="32"/>
        <v>0</v>
      </c>
      <c r="G386" s="161">
        <f t="shared" ref="G386:O386" si="42">G230*G42</f>
        <v>0</v>
      </c>
      <c r="H386" s="161">
        <f t="shared" si="42"/>
        <v>0</v>
      </c>
      <c r="I386" s="161">
        <f t="shared" si="42"/>
        <v>0</v>
      </c>
      <c r="J386" s="161">
        <f t="shared" si="42"/>
        <v>0</v>
      </c>
      <c r="K386" s="161">
        <f t="shared" si="42"/>
        <v>0</v>
      </c>
      <c r="L386" s="161">
        <f t="shared" si="42"/>
        <v>0</v>
      </c>
      <c r="M386" s="161">
        <f t="shared" si="42"/>
        <v>0</v>
      </c>
      <c r="N386" s="161">
        <f t="shared" si="42"/>
        <v>0</v>
      </c>
      <c r="O386" s="161">
        <f t="shared" si="42"/>
        <v>0</v>
      </c>
    </row>
    <row r="387" spans="3:15" hidden="1" outlineLevel="2">
      <c r="C387" s="73" t="str">
        <v>SpareOfferA12</v>
      </c>
      <c r="D387" s="97" t="s">
        <v>189</v>
      </c>
      <c r="F387" s="229">
        <f t="shared" si="32"/>
        <v>0</v>
      </c>
      <c r="G387" s="161">
        <f t="shared" ref="G387:O387" si="43">G231*G43</f>
        <v>0</v>
      </c>
      <c r="H387" s="161">
        <f t="shared" si="43"/>
        <v>0</v>
      </c>
      <c r="I387" s="161">
        <f t="shared" si="43"/>
        <v>0</v>
      </c>
      <c r="J387" s="161">
        <f t="shared" si="43"/>
        <v>0</v>
      </c>
      <c r="K387" s="161">
        <f t="shared" si="43"/>
        <v>0</v>
      </c>
      <c r="L387" s="161">
        <f t="shared" si="43"/>
        <v>0</v>
      </c>
      <c r="M387" s="161">
        <f t="shared" si="43"/>
        <v>0</v>
      </c>
      <c r="N387" s="161">
        <f t="shared" si="43"/>
        <v>0</v>
      </c>
      <c r="O387" s="161">
        <f t="shared" si="43"/>
        <v>0</v>
      </c>
    </row>
    <row r="388" spans="3:15" hidden="1" outlineLevel="2">
      <c r="C388" s="73" t="str">
        <v>SpareOfferA13</v>
      </c>
      <c r="D388" s="97" t="s">
        <v>189</v>
      </c>
      <c r="F388" s="229">
        <f t="shared" si="32"/>
        <v>0</v>
      </c>
      <c r="G388" s="161">
        <f t="shared" ref="G388:O388" si="44">G232*G44</f>
        <v>0</v>
      </c>
      <c r="H388" s="161">
        <f t="shared" si="44"/>
        <v>0</v>
      </c>
      <c r="I388" s="161">
        <f t="shared" si="44"/>
        <v>0</v>
      </c>
      <c r="J388" s="161">
        <f t="shared" si="44"/>
        <v>0</v>
      </c>
      <c r="K388" s="161">
        <f t="shared" si="44"/>
        <v>0</v>
      </c>
      <c r="L388" s="161">
        <f t="shared" si="44"/>
        <v>0</v>
      </c>
      <c r="M388" s="161">
        <f t="shared" si="44"/>
        <v>0</v>
      </c>
      <c r="N388" s="161">
        <f t="shared" si="44"/>
        <v>0</v>
      </c>
      <c r="O388" s="161">
        <f t="shared" si="44"/>
        <v>0</v>
      </c>
    </row>
    <row r="389" spans="3:15" hidden="1" outlineLevel="2">
      <c r="C389" s="73" t="str">
        <v>SpareOfferA14</v>
      </c>
      <c r="D389" s="97" t="s">
        <v>189</v>
      </c>
      <c r="F389" s="229">
        <f t="shared" si="32"/>
        <v>0</v>
      </c>
      <c r="G389" s="161">
        <f t="shared" ref="G389:O389" si="45">G233*G45</f>
        <v>0</v>
      </c>
      <c r="H389" s="161">
        <f t="shared" si="45"/>
        <v>0</v>
      </c>
      <c r="I389" s="161">
        <f t="shared" si="45"/>
        <v>0</v>
      </c>
      <c r="J389" s="161">
        <f t="shared" si="45"/>
        <v>0</v>
      </c>
      <c r="K389" s="161">
        <f t="shared" si="45"/>
        <v>0</v>
      </c>
      <c r="L389" s="161">
        <f t="shared" si="45"/>
        <v>0</v>
      </c>
      <c r="M389" s="161">
        <f t="shared" si="45"/>
        <v>0</v>
      </c>
      <c r="N389" s="161">
        <f t="shared" si="45"/>
        <v>0</v>
      </c>
      <c r="O389" s="161">
        <f t="shared" si="45"/>
        <v>0</v>
      </c>
    </row>
    <row r="390" spans="3:15" hidden="1" outlineLevel="2">
      <c r="C390" s="73" t="str">
        <v>SpareOfferA15</v>
      </c>
      <c r="D390" s="97" t="s">
        <v>189</v>
      </c>
      <c r="F390" s="229">
        <f t="shared" si="32"/>
        <v>0</v>
      </c>
      <c r="G390" s="161">
        <f t="shared" ref="G390:O390" si="46">G234*G46</f>
        <v>0</v>
      </c>
      <c r="H390" s="161">
        <f t="shared" si="46"/>
        <v>0</v>
      </c>
      <c r="I390" s="161">
        <f t="shared" si="46"/>
        <v>0</v>
      </c>
      <c r="J390" s="161">
        <f t="shared" si="46"/>
        <v>0</v>
      </c>
      <c r="K390" s="161">
        <f t="shared" si="46"/>
        <v>0</v>
      </c>
      <c r="L390" s="161">
        <f t="shared" si="46"/>
        <v>0</v>
      </c>
      <c r="M390" s="161">
        <f t="shared" si="46"/>
        <v>0</v>
      </c>
      <c r="N390" s="161">
        <f t="shared" si="46"/>
        <v>0</v>
      </c>
      <c r="O390" s="161">
        <f t="shared" si="46"/>
        <v>0</v>
      </c>
    </row>
    <row r="391" spans="3:15" hidden="1" outlineLevel="2">
      <c r="C391" s="73" t="str">
        <v>SpareOfferA16</v>
      </c>
      <c r="D391" s="97" t="s">
        <v>189</v>
      </c>
      <c r="F391" s="229">
        <f t="shared" si="32"/>
        <v>0</v>
      </c>
      <c r="G391" s="161">
        <f t="shared" ref="G391:O391" si="47">G235*G47</f>
        <v>0</v>
      </c>
      <c r="H391" s="161">
        <f t="shared" si="47"/>
        <v>0</v>
      </c>
      <c r="I391" s="161">
        <f t="shared" si="47"/>
        <v>0</v>
      </c>
      <c r="J391" s="161">
        <f t="shared" si="47"/>
        <v>0</v>
      </c>
      <c r="K391" s="161">
        <f t="shared" si="47"/>
        <v>0</v>
      </c>
      <c r="L391" s="161">
        <f t="shared" si="47"/>
        <v>0</v>
      </c>
      <c r="M391" s="161">
        <f t="shared" si="47"/>
        <v>0</v>
      </c>
      <c r="N391" s="161">
        <f t="shared" si="47"/>
        <v>0</v>
      </c>
      <c r="O391" s="161">
        <f t="shared" si="47"/>
        <v>0</v>
      </c>
    </row>
    <row r="392" spans="3:15" hidden="1" outlineLevel="2">
      <c r="C392" s="73" t="str">
        <v>SpareOfferA17</v>
      </c>
      <c r="D392" s="97" t="s">
        <v>189</v>
      </c>
      <c r="F392" s="229">
        <f t="shared" si="32"/>
        <v>0</v>
      </c>
      <c r="G392" s="161">
        <f t="shared" ref="G392:O392" si="48">G236*G48</f>
        <v>0</v>
      </c>
      <c r="H392" s="161">
        <f t="shared" si="48"/>
        <v>0</v>
      </c>
      <c r="I392" s="161">
        <f t="shared" si="48"/>
        <v>0</v>
      </c>
      <c r="J392" s="161">
        <f t="shared" si="48"/>
        <v>0</v>
      </c>
      <c r="K392" s="161">
        <f t="shared" si="48"/>
        <v>0</v>
      </c>
      <c r="L392" s="161">
        <f t="shared" si="48"/>
        <v>0</v>
      </c>
      <c r="M392" s="161">
        <f t="shared" si="48"/>
        <v>0</v>
      </c>
      <c r="N392" s="161">
        <f t="shared" si="48"/>
        <v>0</v>
      </c>
      <c r="O392" s="161">
        <f t="shared" si="48"/>
        <v>0</v>
      </c>
    </row>
    <row r="393" spans="3:15" hidden="1" outlineLevel="2">
      <c r="C393" s="73" t="str">
        <v>SpareOfferA18</v>
      </c>
      <c r="D393" s="97" t="s">
        <v>189</v>
      </c>
      <c r="F393" s="229">
        <f t="shared" si="32"/>
        <v>0</v>
      </c>
      <c r="G393" s="161">
        <f t="shared" ref="G393:O393" si="49">G237*G49</f>
        <v>0</v>
      </c>
      <c r="H393" s="161">
        <f t="shared" si="49"/>
        <v>0</v>
      </c>
      <c r="I393" s="161">
        <f t="shared" si="49"/>
        <v>0</v>
      </c>
      <c r="J393" s="161">
        <f t="shared" si="49"/>
        <v>0</v>
      </c>
      <c r="K393" s="161">
        <f t="shared" si="49"/>
        <v>0</v>
      </c>
      <c r="L393" s="161">
        <f t="shared" si="49"/>
        <v>0</v>
      </c>
      <c r="M393" s="161">
        <f t="shared" si="49"/>
        <v>0</v>
      </c>
      <c r="N393" s="161">
        <f t="shared" si="49"/>
        <v>0</v>
      </c>
      <c r="O393" s="161">
        <f t="shared" si="49"/>
        <v>0</v>
      </c>
    </row>
    <row r="394" spans="3:15" hidden="1" outlineLevel="2">
      <c r="C394" s="73" t="str">
        <v>SpareOfferA19</v>
      </c>
      <c r="D394" s="97" t="s">
        <v>189</v>
      </c>
      <c r="F394" s="229">
        <f t="shared" si="32"/>
        <v>0</v>
      </c>
      <c r="G394" s="161">
        <f t="shared" ref="G394:O394" si="50">G238*G50</f>
        <v>0</v>
      </c>
      <c r="H394" s="161">
        <f t="shared" si="50"/>
        <v>0</v>
      </c>
      <c r="I394" s="161">
        <f t="shared" si="50"/>
        <v>0</v>
      </c>
      <c r="J394" s="161">
        <f t="shared" si="50"/>
        <v>0</v>
      </c>
      <c r="K394" s="161">
        <f t="shared" si="50"/>
        <v>0</v>
      </c>
      <c r="L394" s="161">
        <f t="shared" si="50"/>
        <v>0</v>
      </c>
      <c r="M394" s="161">
        <f t="shared" si="50"/>
        <v>0</v>
      </c>
      <c r="N394" s="161">
        <f t="shared" si="50"/>
        <v>0</v>
      </c>
      <c r="O394" s="161">
        <f t="shared" si="50"/>
        <v>0</v>
      </c>
    </row>
    <row r="395" spans="3:15" hidden="1" outlineLevel="2">
      <c r="C395" s="73" t="str">
        <v>SpareOfferA20</v>
      </c>
      <c r="D395" s="97" t="s">
        <v>189</v>
      </c>
      <c r="F395" s="229">
        <f t="shared" si="32"/>
        <v>0</v>
      </c>
      <c r="G395" s="161">
        <f t="shared" ref="G395:O395" si="51">G239*G51</f>
        <v>0</v>
      </c>
      <c r="H395" s="161">
        <f t="shared" si="51"/>
        <v>0</v>
      </c>
      <c r="I395" s="161">
        <f t="shared" si="51"/>
        <v>0</v>
      </c>
      <c r="J395" s="161">
        <f t="shared" si="51"/>
        <v>0</v>
      </c>
      <c r="K395" s="161">
        <f t="shared" si="51"/>
        <v>0</v>
      </c>
      <c r="L395" s="161">
        <f t="shared" si="51"/>
        <v>0</v>
      </c>
      <c r="M395" s="161">
        <f t="shared" si="51"/>
        <v>0</v>
      </c>
      <c r="N395" s="161">
        <f t="shared" si="51"/>
        <v>0</v>
      </c>
      <c r="O395" s="161">
        <f t="shared" si="51"/>
        <v>0</v>
      </c>
    </row>
    <row r="396" spans="3:15" hidden="1" outlineLevel="2">
      <c r="C396" s="73" t="str">
        <v>SpareOfferA21</v>
      </c>
      <c r="D396" s="97" t="s">
        <v>189</v>
      </c>
      <c r="F396" s="229">
        <f t="shared" si="32"/>
        <v>0</v>
      </c>
      <c r="G396" s="161">
        <f t="shared" ref="G396:O396" si="52">G240*G52</f>
        <v>0</v>
      </c>
      <c r="H396" s="161">
        <f t="shared" si="52"/>
        <v>0</v>
      </c>
      <c r="I396" s="161">
        <f t="shared" si="52"/>
        <v>0</v>
      </c>
      <c r="J396" s="161">
        <f t="shared" si="52"/>
        <v>0</v>
      </c>
      <c r="K396" s="161">
        <f t="shared" si="52"/>
        <v>0</v>
      </c>
      <c r="L396" s="161">
        <f t="shared" si="52"/>
        <v>0</v>
      </c>
      <c r="M396" s="161">
        <f t="shared" si="52"/>
        <v>0</v>
      </c>
      <c r="N396" s="161">
        <f t="shared" si="52"/>
        <v>0</v>
      </c>
      <c r="O396" s="161">
        <f t="shared" si="52"/>
        <v>0</v>
      </c>
    </row>
    <row r="397" spans="3:15" hidden="1" outlineLevel="2">
      <c r="C397" s="73" t="str">
        <v>SpareOfferA22</v>
      </c>
      <c r="D397" s="97" t="s">
        <v>189</v>
      </c>
      <c r="F397" s="229">
        <f t="shared" si="32"/>
        <v>0</v>
      </c>
      <c r="G397" s="161">
        <f t="shared" ref="G397:O397" si="53">G241*G53</f>
        <v>0</v>
      </c>
      <c r="H397" s="161">
        <f t="shared" si="53"/>
        <v>0</v>
      </c>
      <c r="I397" s="161">
        <f t="shared" si="53"/>
        <v>0</v>
      </c>
      <c r="J397" s="161">
        <f t="shared" si="53"/>
        <v>0</v>
      </c>
      <c r="K397" s="161">
        <f t="shared" si="53"/>
        <v>0</v>
      </c>
      <c r="L397" s="161">
        <f t="shared" si="53"/>
        <v>0</v>
      </c>
      <c r="M397" s="161">
        <f t="shared" si="53"/>
        <v>0</v>
      </c>
      <c r="N397" s="161">
        <f t="shared" si="53"/>
        <v>0</v>
      </c>
      <c r="O397" s="161">
        <f t="shared" si="53"/>
        <v>0</v>
      </c>
    </row>
    <row r="398" spans="3:15" hidden="1" outlineLevel="2">
      <c r="C398" s="73" t="str">
        <v>SpareOfferA23</v>
      </c>
      <c r="D398" s="97" t="s">
        <v>189</v>
      </c>
      <c r="F398" s="229">
        <f t="shared" si="32"/>
        <v>0</v>
      </c>
      <c r="G398" s="161">
        <f t="shared" ref="G398:O398" si="54">G242*G54</f>
        <v>0</v>
      </c>
      <c r="H398" s="161">
        <f t="shared" si="54"/>
        <v>0</v>
      </c>
      <c r="I398" s="161">
        <f t="shared" si="54"/>
        <v>0</v>
      </c>
      <c r="J398" s="161">
        <f t="shared" si="54"/>
        <v>0</v>
      </c>
      <c r="K398" s="161">
        <f t="shared" si="54"/>
        <v>0</v>
      </c>
      <c r="L398" s="161">
        <f t="shared" si="54"/>
        <v>0</v>
      </c>
      <c r="M398" s="161">
        <f t="shared" si="54"/>
        <v>0</v>
      </c>
      <c r="N398" s="161">
        <f t="shared" si="54"/>
        <v>0</v>
      </c>
      <c r="O398" s="161">
        <f t="shared" si="54"/>
        <v>0</v>
      </c>
    </row>
    <row r="399" spans="3:15" hidden="1" outlineLevel="2">
      <c r="C399" s="73" t="str">
        <v>SpareOfferA24</v>
      </c>
      <c r="D399" s="97" t="s">
        <v>189</v>
      </c>
      <c r="F399" s="229">
        <f t="shared" si="32"/>
        <v>0</v>
      </c>
      <c r="G399" s="161">
        <f t="shared" ref="G399:O399" si="55">G243*G55</f>
        <v>0</v>
      </c>
      <c r="H399" s="161">
        <f t="shared" si="55"/>
        <v>0</v>
      </c>
      <c r="I399" s="161">
        <f t="shared" si="55"/>
        <v>0</v>
      </c>
      <c r="J399" s="161">
        <f t="shared" si="55"/>
        <v>0</v>
      </c>
      <c r="K399" s="161">
        <f t="shared" si="55"/>
        <v>0</v>
      </c>
      <c r="L399" s="161">
        <f t="shared" si="55"/>
        <v>0</v>
      </c>
      <c r="M399" s="161">
        <f t="shared" si="55"/>
        <v>0</v>
      </c>
      <c r="N399" s="161">
        <f t="shared" si="55"/>
        <v>0</v>
      </c>
      <c r="O399" s="161">
        <f t="shared" si="55"/>
        <v>0</v>
      </c>
    </row>
    <row r="400" spans="3:15" hidden="1" outlineLevel="2">
      <c r="C400" s="73" t="str">
        <v>SpareOfferA25</v>
      </c>
      <c r="D400" s="97" t="s">
        <v>189</v>
      </c>
      <c r="F400" s="229">
        <f t="shared" si="32"/>
        <v>0</v>
      </c>
      <c r="G400" s="161">
        <f t="shared" ref="G400:O400" si="56">G244*G56</f>
        <v>0</v>
      </c>
      <c r="H400" s="161">
        <f t="shared" si="56"/>
        <v>0</v>
      </c>
      <c r="I400" s="161">
        <f t="shared" si="56"/>
        <v>0</v>
      </c>
      <c r="J400" s="161">
        <f t="shared" si="56"/>
        <v>0</v>
      </c>
      <c r="K400" s="161">
        <f t="shared" si="56"/>
        <v>0</v>
      </c>
      <c r="L400" s="161">
        <f t="shared" si="56"/>
        <v>0</v>
      </c>
      <c r="M400" s="161">
        <f t="shared" si="56"/>
        <v>0</v>
      </c>
      <c r="N400" s="161">
        <f t="shared" si="56"/>
        <v>0</v>
      </c>
      <c r="O400" s="161">
        <f t="shared" si="56"/>
        <v>0</v>
      </c>
    </row>
    <row r="401" spans="1:21" hidden="1" outlineLevel="2">
      <c r="C401" s="73" t="str">
        <v>SpareOfferA26</v>
      </c>
      <c r="D401" s="97" t="s">
        <v>189</v>
      </c>
      <c r="F401" s="229">
        <f t="shared" si="32"/>
        <v>0</v>
      </c>
      <c r="G401" s="161">
        <f t="shared" ref="G401:O401" si="57">G245*G57</f>
        <v>0</v>
      </c>
      <c r="H401" s="161">
        <f t="shared" si="57"/>
        <v>0</v>
      </c>
      <c r="I401" s="161">
        <f t="shared" si="57"/>
        <v>0</v>
      </c>
      <c r="J401" s="161">
        <f t="shared" si="57"/>
        <v>0</v>
      </c>
      <c r="K401" s="161">
        <f t="shared" si="57"/>
        <v>0</v>
      </c>
      <c r="L401" s="161">
        <f t="shared" si="57"/>
        <v>0</v>
      </c>
      <c r="M401" s="161">
        <f t="shared" si="57"/>
        <v>0</v>
      </c>
      <c r="N401" s="161">
        <f t="shared" si="57"/>
        <v>0</v>
      </c>
      <c r="O401" s="161">
        <f t="shared" si="57"/>
        <v>0</v>
      </c>
    </row>
    <row r="402" spans="1:21" hidden="1" outlineLevel="2">
      <c r="C402" s="73" t="str">
        <v>SpareOfferA27</v>
      </c>
      <c r="D402" s="97" t="s">
        <v>189</v>
      </c>
      <c r="F402" s="229">
        <f t="shared" si="32"/>
        <v>0</v>
      </c>
      <c r="G402" s="161">
        <f t="shared" ref="G402:O402" si="58">G246*G58</f>
        <v>0</v>
      </c>
      <c r="H402" s="161">
        <f t="shared" si="58"/>
        <v>0</v>
      </c>
      <c r="I402" s="161">
        <f t="shared" si="58"/>
        <v>0</v>
      </c>
      <c r="J402" s="161">
        <f t="shared" si="58"/>
        <v>0</v>
      </c>
      <c r="K402" s="161">
        <f t="shared" si="58"/>
        <v>0</v>
      </c>
      <c r="L402" s="161">
        <f t="shared" si="58"/>
        <v>0</v>
      </c>
      <c r="M402" s="161">
        <f t="shared" si="58"/>
        <v>0</v>
      </c>
      <c r="N402" s="161">
        <f t="shared" si="58"/>
        <v>0</v>
      </c>
      <c r="O402" s="161">
        <f t="shared" si="58"/>
        <v>0</v>
      </c>
    </row>
    <row r="403" spans="1:21" hidden="1" outlineLevel="2">
      <c r="C403" s="73" t="str">
        <v>SpareOfferA28</v>
      </c>
      <c r="D403" s="97" t="s">
        <v>189</v>
      </c>
      <c r="F403" s="229">
        <f t="shared" si="32"/>
        <v>0</v>
      </c>
      <c r="G403" s="161">
        <f t="shared" ref="G403:O403" si="59">G247*G59</f>
        <v>0</v>
      </c>
      <c r="H403" s="161">
        <f t="shared" si="59"/>
        <v>0</v>
      </c>
      <c r="I403" s="161">
        <f t="shared" si="59"/>
        <v>0</v>
      </c>
      <c r="J403" s="161">
        <f t="shared" si="59"/>
        <v>0</v>
      </c>
      <c r="K403" s="161">
        <f t="shared" si="59"/>
        <v>0</v>
      </c>
      <c r="L403" s="161">
        <f t="shared" si="59"/>
        <v>0</v>
      </c>
      <c r="M403" s="161">
        <f t="shared" si="59"/>
        <v>0</v>
      </c>
      <c r="N403" s="161">
        <f t="shared" si="59"/>
        <v>0</v>
      </c>
      <c r="O403" s="161">
        <f t="shared" si="59"/>
        <v>0</v>
      </c>
    </row>
    <row r="404" spans="1:21" hidden="1" outlineLevel="2">
      <c r="C404" s="73" t="str">
        <v>SpareOfferA29</v>
      </c>
      <c r="D404" s="97" t="s">
        <v>189</v>
      </c>
      <c r="F404" s="229">
        <f t="shared" si="32"/>
        <v>0</v>
      </c>
      <c r="G404" s="161">
        <f t="shared" ref="G404:O404" si="60">G248*G60</f>
        <v>0</v>
      </c>
      <c r="H404" s="161">
        <f t="shared" si="60"/>
        <v>0</v>
      </c>
      <c r="I404" s="161">
        <f t="shared" si="60"/>
        <v>0</v>
      </c>
      <c r="J404" s="161">
        <f t="shared" si="60"/>
        <v>0</v>
      </c>
      <c r="K404" s="161">
        <f t="shared" si="60"/>
        <v>0</v>
      </c>
      <c r="L404" s="161">
        <f t="shared" si="60"/>
        <v>0</v>
      </c>
      <c r="M404" s="161">
        <f t="shared" si="60"/>
        <v>0</v>
      </c>
      <c r="N404" s="161">
        <f t="shared" si="60"/>
        <v>0</v>
      </c>
      <c r="O404" s="161">
        <f t="shared" si="60"/>
        <v>0</v>
      </c>
    </row>
    <row r="405" spans="1:21" hidden="1" outlineLevel="2">
      <c r="C405" s="73" t="str">
        <v>SpareOfferA30</v>
      </c>
      <c r="D405" s="97" t="s">
        <v>189</v>
      </c>
      <c r="F405" s="229">
        <f t="shared" si="32"/>
        <v>0</v>
      </c>
      <c r="G405" s="161">
        <f t="shared" ref="G405:O405" si="61">G249*G61</f>
        <v>0</v>
      </c>
      <c r="H405" s="161">
        <f t="shared" si="61"/>
        <v>0</v>
      </c>
      <c r="I405" s="161">
        <f t="shared" si="61"/>
        <v>0</v>
      </c>
      <c r="J405" s="161">
        <f t="shared" si="61"/>
        <v>0</v>
      </c>
      <c r="K405" s="161">
        <f t="shared" si="61"/>
        <v>0</v>
      </c>
      <c r="L405" s="161">
        <f t="shared" si="61"/>
        <v>0</v>
      </c>
      <c r="M405" s="161">
        <f t="shared" si="61"/>
        <v>0</v>
      </c>
      <c r="N405" s="161">
        <f t="shared" si="61"/>
        <v>0</v>
      </c>
      <c r="O405" s="161">
        <f t="shared" si="61"/>
        <v>0</v>
      </c>
    </row>
    <row r="406" spans="1:21" hidden="1" outlineLevel="2">
      <c r="C406" s="73" t="str">
        <v>SpareOfferA31</v>
      </c>
      <c r="D406" s="97" t="s">
        <v>189</v>
      </c>
      <c r="F406" s="229">
        <f t="shared" si="32"/>
        <v>0</v>
      </c>
      <c r="G406" s="161">
        <f t="shared" ref="G406:O406" si="62">G250*G62</f>
        <v>0</v>
      </c>
      <c r="H406" s="161">
        <f t="shared" si="62"/>
        <v>0</v>
      </c>
      <c r="I406" s="161">
        <f t="shared" si="62"/>
        <v>0</v>
      </c>
      <c r="J406" s="161">
        <f t="shared" si="62"/>
        <v>0</v>
      </c>
      <c r="K406" s="161">
        <f t="shared" si="62"/>
        <v>0</v>
      </c>
      <c r="L406" s="161">
        <f t="shared" si="62"/>
        <v>0</v>
      </c>
      <c r="M406" s="161">
        <f t="shared" si="62"/>
        <v>0</v>
      </c>
      <c r="N406" s="161">
        <f t="shared" si="62"/>
        <v>0</v>
      </c>
      <c r="O406" s="161">
        <f t="shared" si="62"/>
        <v>0</v>
      </c>
    </row>
    <row r="407" spans="1:21" hidden="1" outlineLevel="2">
      <c r="C407" s="73" t="str">
        <v>SpareOfferA32</v>
      </c>
      <c r="D407" s="97" t="s">
        <v>189</v>
      </c>
      <c r="F407" s="229">
        <f t="shared" si="32"/>
        <v>0</v>
      </c>
      <c r="G407" s="161">
        <f t="shared" ref="G407:O407" si="63">G251*G63</f>
        <v>0</v>
      </c>
      <c r="H407" s="161">
        <f t="shared" si="63"/>
        <v>0</v>
      </c>
      <c r="I407" s="161">
        <f t="shared" si="63"/>
        <v>0</v>
      </c>
      <c r="J407" s="161">
        <f t="shared" si="63"/>
        <v>0</v>
      </c>
      <c r="K407" s="161">
        <f t="shared" si="63"/>
        <v>0</v>
      </c>
      <c r="L407" s="161">
        <f t="shared" si="63"/>
        <v>0</v>
      </c>
      <c r="M407" s="161">
        <f t="shared" si="63"/>
        <v>0</v>
      </c>
      <c r="N407" s="161">
        <f t="shared" si="63"/>
        <v>0</v>
      </c>
      <c r="O407" s="161">
        <f t="shared" si="63"/>
        <v>0</v>
      </c>
    </row>
    <row r="408" spans="1:21" hidden="1" outlineLevel="2">
      <c r="C408" s="73" t="str">
        <v>SpareOfferA33</v>
      </c>
      <c r="D408" s="97" t="s">
        <v>189</v>
      </c>
      <c r="F408" s="229">
        <f t="shared" si="32"/>
        <v>0</v>
      </c>
      <c r="G408" s="161">
        <f t="shared" ref="G408:O408" si="64">G252*G64</f>
        <v>0</v>
      </c>
      <c r="H408" s="161">
        <f t="shared" si="64"/>
        <v>0</v>
      </c>
      <c r="I408" s="161">
        <f t="shared" si="64"/>
        <v>0</v>
      </c>
      <c r="J408" s="161">
        <f t="shared" si="64"/>
        <v>0</v>
      </c>
      <c r="K408" s="161">
        <f t="shared" si="64"/>
        <v>0</v>
      </c>
      <c r="L408" s="161">
        <f t="shared" si="64"/>
        <v>0</v>
      </c>
      <c r="M408" s="161">
        <f t="shared" si="64"/>
        <v>0</v>
      </c>
      <c r="N408" s="161">
        <f t="shared" si="64"/>
        <v>0</v>
      </c>
      <c r="O408" s="161">
        <f t="shared" si="64"/>
        <v>0</v>
      </c>
    </row>
    <row r="409" spans="1:21" hidden="1" outlineLevel="2">
      <c r="C409" s="73" t="str">
        <v>SpareOfferA34</v>
      </c>
      <c r="D409" s="97" t="s">
        <v>189</v>
      </c>
      <c r="F409" s="229">
        <f t="shared" si="32"/>
        <v>0</v>
      </c>
      <c r="G409" s="161">
        <f t="shared" ref="G409:O409" si="65">G253*G65</f>
        <v>0</v>
      </c>
      <c r="H409" s="161">
        <f t="shared" si="65"/>
        <v>0</v>
      </c>
      <c r="I409" s="161">
        <f t="shared" si="65"/>
        <v>0</v>
      </c>
      <c r="J409" s="161">
        <f t="shared" si="65"/>
        <v>0</v>
      </c>
      <c r="K409" s="161">
        <f t="shared" si="65"/>
        <v>0</v>
      </c>
      <c r="L409" s="161">
        <f t="shared" si="65"/>
        <v>0</v>
      </c>
      <c r="M409" s="161">
        <f t="shared" si="65"/>
        <v>0</v>
      </c>
      <c r="N409" s="161">
        <f t="shared" si="65"/>
        <v>0</v>
      </c>
      <c r="O409" s="161">
        <f t="shared" si="65"/>
        <v>0</v>
      </c>
    </row>
    <row r="410" spans="1:21" outlineLevel="1" collapsed="1">
      <c r="C410" s="73" t="str">
        <v>SpareOfferA35</v>
      </c>
      <c r="D410" s="97" t="s">
        <v>189</v>
      </c>
      <c r="F410" s="229">
        <f t="shared" si="32"/>
        <v>0</v>
      </c>
      <c r="G410" s="161">
        <f t="shared" ref="G410:O410" si="66">G254*G66</f>
        <v>0</v>
      </c>
      <c r="H410" s="161">
        <f t="shared" si="66"/>
        <v>0</v>
      </c>
      <c r="I410" s="161">
        <f t="shared" si="66"/>
        <v>0</v>
      </c>
      <c r="J410" s="161">
        <f t="shared" si="66"/>
        <v>0</v>
      </c>
      <c r="K410" s="161">
        <f t="shared" si="66"/>
        <v>0</v>
      </c>
      <c r="L410" s="161">
        <f t="shared" si="66"/>
        <v>0</v>
      </c>
      <c r="M410" s="161">
        <f t="shared" si="66"/>
        <v>0</v>
      </c>
      <c r="N410" s="161">
        <f t="shared" si="66"/>
        <v>0</v>
      </c>
      <c r="O410" s="161">
        <f t="shared" si="66"/>
        <v>0</v>
      </c>
    </row>
    <row r="412" spans="1:21" s="220" customFormat="1">
      <c r="A412" s="220">
        <v>2</v>
      </c>
      <c r="B412" s="221" t="str">
        <f>INDEX(segments,A412)</f>
        <v>Business</v>
      </c>
      <c r="C412" s="207"/>
    </row>
    <row r="413" spans="1:21" outlineLevel="1"/>
    <row r="414" spans="1:21" outlineLevel="1">
      <c r="B414" s="91" t="s">
        <v>271</v>
      </c>
    </row>
    <row r="415" spans="1:21" outlineLevel="1"/>
    <row r="416" spans="1:21" outlineLevel="1">
      <c r="C416" s="35" t="s">
        <v>513</v>
      </c>
      <c r="G416" s="165" t="s">
        <v>312</v>
      </c>
      <c r="H416" s="165"/>
      <c r="I416" s="165"/>
      <c r="J416" s="165"/>
      <c r="K416" s="165"/>
      <c r="L416" s="165"/>
      <c r="M416" s="165"/>
      <c r="O416" s="165" t="s">
        <v>313</v>
      </c>
      <c r="P416" s="165"/>
      <c r="Q416" s="165"/>
      <c r="R416" s="66"/>
      <c r="S416" s="66"/>
      <c r="T416" s="66"/>
      <c r="U416" s="66"/>
    </row>
    <row r="417" spans="3:21" ht="23.25" customHeight="1" outlineLevel="1">
      <c r="G417" s="165" t="str">
        <f t="array" ref="G417:M417">TRANSPOSE(voice.destination.plus.in)</f>
        <v>On-net</v>
      </c>
      <c r="H417" s="165" t="str">
        <v>Off-net fixed</v>
      </c>
      <c r="I417" s="165" t="str">
        <v>Off-net mobile</v>
      </c>
      <c r="J417" s="66" t="str">
        <v>International</v>
      </c>
      <c r="K417" s="66" t="str">
        <v>VAS</v>
      </c>
      <c r="L417" s="66" t="str">
        <v>Not used</v>
      </c>
      <c r="M417" s="165" t="str">
        <v>Termination</v>
      </c>
      <c r="O417" s="165" t="str">
        <f t="array" ref="O417:U417">TRANSPOSE(SMS.destination.plus.in)</f>
        <v>On-net</v>
      </c>
      <c r="P417" s="165" t="str">
        <v>Off-net fixed</v>
      </c>
      <c r="Q417" s="165" t="str">
        <v>Off-net mobile</v>
      </c>
      <c r="R417" s="66" t="str">
        <v>International</v>
      </c>
      <c r="S417" s="66" t="str">
        <v>Content messages: BankID</v>
      </c>
      <c r="T417" s="66" t="str">
        <v>Content messages: other</v>
      </c>
      <c r="U417" s="165" t="str">
        <v>Termination</v>
      </c>
    </row>
    <row r="418" spans="3:21" outlineLevel="1">
      <c r="C418" s="91" t="s">
        <v>89</v>
      </c>
      <c r="D418" t="s">
        <v>302</v>
      </c>
      <c r="G418" s="114">
        <f t="shared" ref="G418:M418" si="67">SUMPRODUCT(G419:G453,subscription.split.segment.2)</f>
        <v>0</v>
      </c>
      <c r="H418" s="114">
        <f t="shared" si="67"/>
        <v>0</v>
      </c>
      <c r="I418" s="114">
        <f t="shared" si="67"/>
        <v>0</v>
      </c>
      <c r="J418" s="114">
        <f t="shared" si="67"/>
        <v>0</v>
      </c>
      <c r="K418" s="114">
        <f t="shared" si="67"/>
        <v>0</v>
      </c>
      <c r="L418" s="114">
        <f t="shared" si="67"/>
        <v>0</v>
      </c>
      <c r="M418" s="114">
        <f t="shared" si="67"/>
        <v>0</v>
      </c>
      <c r="O418" s="114">
        <f t="shared" ref="O418:U418" si="68">SUMPRODUCT(O419:O453,subscription.split.segment.2)</f>
        <v>0</v>
      </c>
      <c r="P418" s="114">
        <f t="shared" si="68"/>
        <v>0</v>
      </c>
      <c r="Q418" s="114">
        <f t="shared" si="68"/>
        <v>0</v>
      </c>
      <c r="R418" s="114">
        <f t="shared" si="68"/>
        <v>0</v>
      </c>
      <c r="S418" s="114">
        <f t="shared" si="68"/>
        <v>0</v>
      </c>
      <c r="T418" s="114">
        <f t="shared" si="68"/>
        <v>0</v>
      </c>
      <c r="U418" s="114">
        <f t="shared" si="68"/>
        <v>0</v>
      </c>
    </row>
    <row r="419" spans="3:21" outlineLevel="1">
      <c r="C419" s="73" t="str">
        <f t="array" ref="C419:C453">offers.segment.2</f>
        <v>SpareOfferB1</v>
      </c>
      <c r="D419" t="s">
        <v>302</v>
      </c>
      <c r="G419" s="89">
        <f t="array" ref="G419:L453">out.split.min.per.month.segment.2</f>
        <v>0</v>
      </c>
      <c r="H419" s="89">
        <v>0</v>
      </c>
      <c r="I419" s="89">
        <v>0</v>
      </c>
      <c r="J419" s="89">
        <v>0</v>
      </c>
      <c r="K419" s="89">
        <v>0</v>
      </c>
      <c r="L419" s="89">
        <v>0</v>
      </c>
      <c r="M419" s="227">
        <f t="array" ref="M419:M453">in.min.per.month.segment.2</f>
        <v>0</v>
      </c>
      <c r="O419" s="89">
        <f t="array" ref="O419:T453">out.split.SMS.per.month.segment.2</f>
        <v>0</v>
      </c>
      <c r="P419" s="89">
        <v>0</v>
      </c>
      <c r="Q419" s="89">
        <v>0</v>
      </c>
      <c r="R419" s="89">
        <v>0</v>
      </c>
      <c r="S419" s="89">
        <v>0</v>
      </c>
      <c r="T419" s="89">
        <v>0</v>
      </c>
      <c r="U419" s="206">
        <f t="array" ref="U419:U453">in.SMS.per.month.segment.2</f>
        <v>0</v>
      </c>
    </row>
    <row r="420" spans="3:21" hidden="1" outlineLevel="2">
      <c r="C420" s="73" t="str">
        <v>SpareOfferB2</v>
      </c>
      <c r="D420" t="s">
        <v>302</v>
      </c>
      <c r="G420" s="89">
        <v>0</v>
      </c>
      <c r="H420" s="89">
        <v>0</v>
      </c>
      <c r="I420" s="89">
        <v>0</v>
      </c>
      <c r="J420" s="89">
        <v>0</v>
      </c>
      <c r="K420" s="89">
        <v>0</v>
      </c>
      <c r="L420" s="89">
        <v>0</v>
      </c>
      <c r="M420" s="227">
        <v>0</v>
      </c>
      <c r="O420" s="89">
        <v>0</v>
      </c>
      <c r="P420" s="89">
        <v>0</v>
      </c>
      <c r="Q420" s="89">
        <v>0</v>
      </c>
      <c r="R420" s="89">
        <v>0</v>
      </c>
      <c r="S420" s="89">
        <v>0</v>
      </c>
      <c r="T420" s="89">
        <v>0</v>
      </c>
      <c r="U420" s="206">
        <v>0</v>
      </c>
    </row>
    <row r="421" spans="3:21" hidden="1" outlineLevel="2">
      <c r="C421" s="73" t="str">
        <v>SpareOfferB3</v>
      </c>
      <c r="D421" t="s">
        <v>302</v>
      </c>
      <c r="G421" s="89">
        <v>0</v>
      </c>
      <c r="H421" s="89">
        <v>0</v>
      </c>
      <c r="I421" s="89">
        <v>0</v>
      </c>
      <c r="J421" s="89">
        <v>0</v>
      </c>
      <c r="K421" s="89">
        <v>0</v>
      </c>
      <c r="L421" s="89">
        <v>0</v>
      </c>
      <c r="M421" s="227">
        <v>0</v>
      </c>
      <c r="O421" s="89">
        <v>0</v>
      </c>
      <c r="P421" s="89">
        <v>0</v>
      </c>
      <c r="Q421" s="89">
        <v>0</v>
      </c>
      <c r="R421" s="89">
        <v>0</v>
      </c>
      <c r="S421" s="89">
        <v>0</v>
      </c>
      <c r="T421" s="89">
        <v>0</v>
      </c>
      <c r="U421" s="206">
        <v>0</v>
      </c>
    </row>
    <row r="422" spans="3:21" hidden="1" outlineLevel="2">
      <c r="C422" s="73" t="str">
        <v>SpareOfferB4</v>
      </c>
      <c r="D422" t="s">
        <v>302</v>
      </c>
      <c r="G422" s="89">
        <v>0</v>
      </c>
      <c r="H422" s="89">
        <v>0</v>
      </c>
      <c r="I422" s="89">
        <v>0</v>
      </c>
      <c r="J422" s="89">
        <v>0</v>
      </c>
      <c r="K422" s="89">
        <v>0</v>
      </c>
      <c r="L422" s="89">
        <v>0</v>
      </c>
      <c r="M422" s="227">
        <v>0</v>
      </c>
      <c r="O422" s="89">
        <v>0</v>
      </c>
      <c r="P422" s="89">
        <v>0</v>
      </c>
      <c r="Q422" s="89">
        <v>0</v>
      </c>
      <c r="R422" s="89">
        <v>0</v>
      </c>
      <c r="S422" s="89">
        <v>0</v>
      </c>
      <c r="T422" s="89">
        <v>0</v>
      </c>
      <c r="U422" s="206">
        <v>0</v>
      </c>
    </row>
    <row r="423" spans="3:21" hidden="1" outlineLevel="2">
      <c r="C423" s="73" t="str">
        <v>SpareOfferB5</v>
      </c>
      <c r="D423" t="s">
        <v>302</v>
      </c>
      <c r="G423" s="89">
        <v>0</v>
      </c>
      <c r="H423" s="89">
        <v>0</v>
      </c>
      <c r="I423" s="89">
        <v>0</v>
      </c>
      <c r="J423" s="89">
        <v>0</v>
      </c>
      <c r="K423" s="89">
        <v>0</v>
      </c>
      <c r="L423" s="89">
        <v>0</v>
      </c>
      <c r="M423" s="227">
        <v>0</v>
      </c>
      <c r="O423" s="89">
        <v>0</v>
      </c>
      <c r="P423" s="89">
        <v>0</v>
      </c>
      <c r="Q423" s="89">
        <v>0</v>
      </c>
      <c r="R423" s="89">
        <v>0</v>
      </c>
      <c r="S423" s="89">
        <v>0</v>
      </c>
      <c r="T423" s="89">
        <v>0</v>
      </c>
      <c r="U423" s="206">
        <v>0</v>
      </c>
    </row>
    <row r="424" spans="3:21" hidden="1" outlineLevel="2">
      <c r="C424" s="73" t="str">
        <v>SpareOfferB6</v>
      </c>
      <c r="D424" t="s">
        <v>302</v>
      </c>
      <c r="G424" s="89">
        <v>0</v>
      </c>
      <c r="H424" s="89">
        <v>0</v>
      </c>
      <c r="I424" s="89">
        <v>0</v>
      </c>
      <c r="J424" s="89">
        <v>0</v>
      </c>
      <c r="K424" s="89">
        <v>0</v>
      </c>
      <c r="L424" s="89">
        <v>0</v>
      </c>
      <c r="M424" s="227">
        <v>0</v>
      </c>
      <c r="O424" s="89">
        <v>0</v>
      </c>
      <c r="P424" s="89">
        <v>0</v>
      </c>
      <c r="Q424" s="89">
        <v>0</v>
      </c>
      <c r="R424" s="89">
        <v>0</v>
      </c>
      <c r="S424" s="89">
        <v>0</v>
      </c>
      <c r="T424" s="89">
        <v>0</v>
      </c>
      <c r="U424" s="206">
        <v>0</v>
      </c>
    </row>
    <row r="425" spans="3:21" hidden="1" outlineLevel="2">
      <c r="C425" s="73" t="str">
        <v>SpareOfferB7</v>
      </c>
      <c r="D425" t="s">
        <v>302</v>
      </c>
      <c r="G425" s="89">
        <v>0</v>
      </c>
      <c r="H425" s="89">
        <v>0</v>
      </c>
      <c r="I425" s="89">
        <v>0</v>
      </c>
      <c r="J425" s="89">
        <v>0</v>
      </c>
      <c r="K425" s="89">
        <v>0</v>
      </c>
      <c r="L425" s="89">
        <v>0</v>
      </c>
      <c r="M425" s="227">
        <v>0</v>
      </c>
      <c r="O425" s="89">
        <v>0</v>
      </c>
      <c r="P425" s="89">
        <v>0</v>
      </c>
      <c r="Q425" s="89">
        <v>0</v>
      </c>
      <c r="R425" s="89">
        <v>0</v>
      </c>
      <c r="S425" s="89">
        <v>0</v>
      </c>
      <c r="T425" s="89">
        <v>0</v>
      </c>
      <c r="U425" s="206">
        <v>0</v>
      </c>
    </row>
    <row r="426" spans="3:21" hidden="1" outlineLevel="2">
      <c r="C426" s="73" t="str">
        <v>SpareOfferB8</v>
      </c>
      <c r="D426" t="s">
        <v>302</v>
      </c>
      <c r="G426" s="89">
        <v>0</v>
      </c>
      <c r="H426" s="89">
        <v>0</v>
      </c>
      <c r="I426" s="89">
        <v>0</v>
      </c>
      <c r="J426" s="89">
        <v>0</v>
      </c>
      <c r="K426" s="89">
        <v>0</v>
      </c>
      <c r="L426" s="89">
        <v>0</v>
      </c>
      <c r="M426" s="227">
        <v>0</v>
      </c>
      <c r="O426" s="89">
        <v>0</v>
      </c>
      <c r="P426" s="89">
        <v>0</v>
      </c>
      <c r="Q426" s="89">
        <v>0</v>
      </c>
      <c r="R426" s="89">
        <v>0</v>
      </c>
      <c r="S426" s="89">
        <v>0</v>
      </c>
      <c r="T426" s="89">
        <v>0</v>
      </c>
      <c r="U426" s="206">
        <v>0</v>
      </c>
    </row>
    <row r="427" spans="3:21" hidden="1" outlineLevel="2">
      <c r="C427" s="73" t="str">
        <v>SpareOfferB9</v>
      </c>
      <c r="D427" t="s">
        <v>302</v>
      </c>
      <c r="G427" s="89">
        <v>0</v>
      </c>
      <c r="H427" s="89">
        <v>0</v>
      </c>
      <c r="I427" s="89">
        <v>0</v>
      </c>
      <c r="J427" s="89">
        <v>0</v>
      </c>
      <c r="K427" s="89">
        <v>0</v>
      </c>
      <c r="L427" s="89">
        <v>0</v>
      </c>
      <c r="M427" s="227">
        <v>0</v>
      </c>
      <c r="O427" s="89">
        <v>0</v>
      </c>
      <c r="P427" s="89">
        <v>0</v>
      </c>
      <c r="Q427" s="89">
        <v>0</v>
      </c>
      <c r="R427" s="89">
        <v>0</v>
      </c>
      <c r="S427" s="89">
        <v>0</v>
      </c>
      <c r="T427" s="89">
        <v>0</v>
      </c>
      <c r="U427" s="206">
        <v>0</v>
      </c>
    </row>
    <row r="428" spans="3:21" hidden="1" outlineLevel="2">
      <c r="C428" s="73" t="str">
        <v>SpareOfferB10</v>
      </c>
      <c r="D428" t="s">
        <v>302</v>
      </c>
      <c r="G428" s="89">
        <v>0</v>
      </c>
      <c r="H428" s="89">
        <v>0</v>
      </c>
      <c r="I428" s="89">
        <v>0</v>
      </c>
      <c r="J428" s="89">
        <v>0</v>
      </c>
      <c r="K428" s="89">
        <v>0</v>
      </c>
      <c r="L428" s="89">
        <v>0</v>
      </c>
      <c r="M428" s="227">
        <v>0</v>
      </c>
      <c r="O428" s="89">
        <v>0</v>
      </c>
      <c r="P428" s="89">
        <v>0</v>
      </c>
      <c r="Q428" s="89">
        <v>0</v>
      </c>
      <c r="R428" s="89">
        <v>0</v>
      </c>
      <c r="S428" s="89">
        <v>0</v>
      </c>
      <c r="T428" s="89">
        <v>0</v>
      </c>
      <c r="U428" s="206">
        <v>0</v>
      </c>
    </row>
    <row r="429" spans="3:21" hidden="1" outlineLevel="2">
      <c r="C429" s="73" t="str">
        <v>SpareOfferB11</v>
      </c>
      <c r="G429" s="89">
        <v>0</v>
      </c>
      <c r="H429" s="89">
        <v>0</v>
      </c>
      <c r="I429" s="89">
        <v>0</v>
      </c>
      <c r="J429" s="89">
        <v>0</v>
      </c>
      <c r="K429" s="89">
        <v>0</v>
      </c>
      <c r="L429" s="89">
        <v>0</v>
      </c>
      <c r="M429" s="227">
        <v>0</v>
      </c>
      <c r="O429" s="89">
        <v>0</v>
      </c>
      <c r="P429" s="89">
        <v>0</v>
      </c>
      <c r="Q429" s="89">
        <v>0</v>
      </c>
      <c r="R429" s="89">
        <v>0</v>
      </c>
      <c r="S429" s="89">
        <v>0</v>
      </c>
      <c r="T429" s="89">
        <v>0</v>
      </c>
      <c r="U429" s="206">
        <v>0</v>
      </c>
    </row>
    <row r="430" spans="3:21" hidden="1" outlineLevel="2">
      <c r="C430" s="73" t="str">
        <v>SpareOfferB12</v>
      </c>
      <c r="G430" s="89">
        <v>0</v>
      </c>
      <c r="H430" s="89">
        <v>0</v>
      </c>
      <c r="I430" s="89">
        <v>0</v>
      </c>
      <c r="J430" s="89">
        <v>0</v>
      </c>
      <c r="K430" s="89">
        <v>0</v>
      </c>
      <c r="L430" s="89">
        <v>0</v>
      </c>
      <c r="M430" s="227">
        <v>0</v>
      </c>
      <c r="O430" s="89">
        <v>0</v>
      </c>
      <c r="P430" s="89">
        <v>0</v>
      </c>
      <c r="Q430" s="89">
        <v>0</v>
      </c>
      <c r="R430" s="89">
        <v>0</v>
      </c>
      <c r="S430" s="89">
        <v>0</v>
      </c>
      <c r="T430" s="89">
        <v>0</v>
      </c>
      <c r="U430" s="206">
        <v>0</v>
      </c>
    </row>
    <row r="431" spans="3:21" hidden="1" outlineLevel="2">
      <c r="C431" s="73" t="str">
        <v>SpareOfferB13</v>
      </c>
      <c r="G431" s="89">
        <v>0</v>
      </c>
      <c r="H431" s="89">
        <v>0</v>
      </c>
      <c r="I431" s="89">
        <v>0</v>
      </c>
      <c r="J431" s="89">
        <v>0</v>
      </c>
      <c r="K431" s="89">
        <v>0</v>
      </c>
      <c r="L431" s="89">
        <v>0</v>
      </c>
      <c r="M431" s="227">
        <v>0</v>
      </c>
      <c r="O431" s="89">
        <v>0</v>
      </c>
      <c r="P431" s="89">
        <v>0</v>
      </c>
      <c r="Q431" s="89">
        <v>0</v>
      </c>
      <c r="R431" s="89">
        <v>0</v>
      </c>
      <c r="S431" s="89">
        <v>0</v>
      </c>
      <c r="T431" s="89">
        <v>0</v>
      </c>
      <c r="U431" s="206">
        <v>0</v>
      </c>
    </row>
    <row r="432" spans="3:21" hidden="1" outlineLevel="2">
      <c r="C432" s="73" t="str">
        <v>SpareOfferB14</v>
      </c>
      <c r="G432" s="89">
        <v>0</v>
      </c>
      <c r="H432" s="89">
        <v>0</v>
      </c>
      <c r="I432" s="89">
        <v>0</v>
      </c>
      <c r="J432" s="89">
        <v>0</v>
      </c>
      <c r="K432" s="89">
        <v>0</v>
      </c>
      <c r="L432" s="89">
        <v>0</v>
      </c>
      <c r="M432" s="227">
        <v>0</v>
      </c>
      <c r="O432" s="89">
        <v>0</v>
      </c>
      <c r="P432" s="89">
        <v>0</v>
      </c>
      <c r="Q432" s="89">
        <v>0</v>
      </c>
      <c r="R432" s="89">
        <v>0</v>
      </c>
      <c r="S432" s="89">
        <v>0</v>
      </c>
      <c r="T432" s="89">
        <v>0</v>
      </c>
      <c r="U432" s="206">
        <v>0</v>
      </c>
    </row>
    <row r="433" spans="3:21" hidden="1" outlineLevel="2">
      <c r="C433" s="73" t="str">
        <v>SpareOfferB15</v>
      </c>
      <c r="G433" s="89">
        <v>0</v>
      </c>
      <c r="H433" s="89">
        <v>0</v>
      </c>
      <c r="I433" s="89">
        <v>0</v>
      </c>
      <c r="J433" s="89">
        <v>0</v>
      </c>
      <c r="K433" s="89">
        <v>0</v>
      </c>
      <c r="L433" s="89">
        <v>0</v>
      </c>
      <c r="M433" s="227">
        <v>0</v>
      </c>
      <c r="O433" s="89">
        <v>0</v>
      </c>
      <c r="P433" s="89">
        <v>0</v>
      </c>
      <c r="Q433" s="89">
        <v>0</v>
      </c>
      <c r="R433" s="89">
        <v>0</v>
      </c>
      <c r="S433" s="89">
        <v>0</v>
      </c>
      <c r="T433" s="89">
        <v>0</v>
      </c>
      <c r="U433" s="206">
        <v>0</v>
      </c>
    </row>
    <row r="434" spans="3:21" hidden="1" outlineLevel="2">
      <c r="C434" s="73" t="str">
        <v>SpareOfferB16</v>
      </c>
      <c r="D434" t="s">
        <v>302</v>
      </c>
      <c r="G434" s="89">
        <v>0</v>
      </c>
      <c r="H434" s="89">
        <v>0</v>
      </c>
      <c r="I434" s="89">
        <v>0</v>
      </c>
      <c r="J434" s="89">
        <v>0</v>
      </c>
      <c r="K434" s="89">
        <v>0</v>
      </c>
      <c r="L434" s="89">
        <v>0</v>
      </c>
      <c r="M434" s="227">
        <v>0</v>
      </c>
      <c r="O434" s="89">
        <v>0</v>
      </c>
      <c r="P434" s="89">
        <v>0</v>
      </c>
      <c r="Q434" s="89">
        <v>0</v>
      </c>
      <c r="R434" s="89">
        <v>0</v>
      </c>
      <c r="S434" s="89">
        <v>0</v>
      </c>
      <c r="T434" s="89">
        <v>0</v>
      </c>
      <c r="U434" s="206">
        <v>0</v>
      </c>
    </row>
    <row r="435" spans="3:21" hidden="1" outlineLevel="2">
      <c r="C435" s="73" t="str">
        <v>SpareOfferB17</v>
      </c>
      <c r="D435" t="s">
        <v>302</v>
      </c>
      <c r="G435" s="89">
        <v>0</v>
      </c>
      <c r="H435" s="89">
        <v>0</v>
      </c>
      <c r="I435" s="89">
        <v>0</v>
      </c>
      <c r="J435" s="89">
        <v>0</v>
      </c>
      <c r="K435" s="89">
        <v>0</v>
      </c>
      <c r="L435" s="89">
        <v>0</v>
      </c>
      <c r="M435" s="227">
        <v>0</v>
      </c>
      <c r="O435" s="89">
        <v>0</v>
      </c>
      <c r="P435" s="89">
        <v>0</v>
      </c>
      <c r="Q435" s="89">
        <v>0</v>
      </c>
      <c r="R435" s="89">
        <v>0</v>
      </c>
      <c r="S435" s="89">
        <v>0</v>
      </c>
      <c r="T435" s="89">
        <v>0</v>
      </c>
      <c r="U435" s="206">
        <v>0</v>
      </c>
    </row>
    <row r="436" spans="3:21" hidden="1" outlineLevel="2">
      <c r="C436" s="73" t="str">
        <v>SpareOfferB18</v>
      </c>
      <c r="D436" t="s">
        <v>302</v>
      </c>
      <c r="G436" s="89">
        <v>0</v>
      </c>
      <c r="H436" s="89">
        <v>0</v>
      </c>
      <c r="I436" s="89">
        <v>0</v>
      </c>
      <c r="J436" s="89">
        <v>0</v>
      </c>
      <c r="K436" s="89">
        <v>0</v>
      </c>
      <c r="L436" s="89">
        <v>0</v>
      </c>
      <c r="M436" s="227">
        <v>0</v>
      </c>
      <c r="O436" s="89">
        <v>0</v>
      </c>
      <c r="P436" s="89">
        <v>0</v>
      </c>
      <c r="Q436" s="89">
        <v>0</v>
      </c>
      <c r="R436" s="89">
        <v>0</v>
      </c>
      <c r="S436" s="89">
        <v>0</v>
      </c>
      <c r="T436" s="89">
        <v>0</v>
      </c>
      <c r="U436" s="206">
        <v>0</v>
      </c>
    </row>
    <row r="437" spans="3:21" hidden="1" outlineLevel="2">
      <c r="C437" s="73" t="str">
        <v>SpareOfferB19</v>
      </c>
      <c r="D437" t="s">
        <v>302</v>
      </c>
      <c r="G437" s="89">
        <v>0</v>
      </c>
      <c r="H437" s="89">
        <v>0</v>
      </c>
      <c r="I437" s="89">
        <v>0</v>
      </c>
      <c r="J437" s="89">
        <v>0</v>
      </c>
      <c r="K437" s="89">
        <v>0</v>
      </c>
      <c r="L437" s="89">
        <v>0</v>
      </c>
      <c r="M437" s="227">
        <v>0</v>
      </c>
      <c r="O437" s="89">
        <v>0</v>
      </c>
      <c r="P437" s="89">
        <v>0</v>
      </c>
      <c r="Q437" s="89">
        <v>0</v>
      </c>
      <c r="R437" s="89">
        <v>0</v>
      </c>
      <c r="S437" s="89">
        <v>0</v>
      </c>
      <c r="T437" s="89">
        <v>0</v>
      </c>
      <c r="U437" s="206">
        <v>0</v>
      </c>
    </row>
    <row r="438" spans="3:21" hidden="1" outlineLevel="2">
      <c r="C438" s="73" t="str">
        <v>SpareOfferB20</v>
      </c>
      <c r="D438" t="s">
        <v>302</v>
      </c>
      <c r="G438" s="89">
        <v>0</v>
      </c>
      <c r="H438" s="89">
        <v>0</v>
      </c>
      <c r="I438" s="89">
        <v>0</v>
      </c>
      <c r="J438" s="89">
        <v>0</v>
      </c>
      <c r="K438" s="89">
        <v>0</v>
      </c>
      <c r="L438" s="89">
        <v>0</v>
      </c>
      <c r="M438" s="227">
        <v>0</v>
      </c>
      <c r="O438" s="89">
        <v>0</v>
      </c>
      <c r="P438" s="89">
        <v>0</v>
      </c>
      <c r="Q438" s="89">
        <v>0</v>
      </c>
      <c r="R438" s="89">
        <v>0</v>
      </c>
      <c r="S438" s="89">
        <v>0</v>
      </c>
      <c r="T438" s="89">
        <v>0</v>
      </c>
      <c r="U438" s="206">
        <v>0</v>
      </c>
    </row>
    <row r="439" spans="3:21" hidden="1" outlineLevel="2">
      <c r="C439" s="73" t="str">
        <v>SpareOfferB21</v>
      </c>
      <c r="D439" t="s">
        <v>302</v>
      </c>
      <c r="G439" s="89">
        <v>0</v>
      </c>
      <c r="H439" s="89">
        <v>0</v>
      </c>
      <c r="I439" s="89">
        <v>0</v>
      </c>
      <c r="J439" s="89">
        <v>0</v>
      </c>
      <c r="K439" s="89">
        <v>0</v>
      </c>
      <c r="L439" s="89">
        <v>0</v>
      </c>
      <c r="M439" s="227">
        <v>0</v>
      </c>
      <c r="O439" s="89">
        <v>0</v>
      </c>
      <c r="P439" s="89">
        <v>0</v>
      </c>
      <c r="Q439" s="89">
        <v>0</v>
      </c>
      <c r="R439" s="89">
        <v>0</v>
      </c>
      <c r="S439" s="89">
        <v>0</v>
      </c>
      <c r="T439" s="89">
        <v>0</v>
      </c>
      <c r="U439" s="206">
        <v>0</v>
      </c>
    </row>
    <row r="440" spans="3:21" hidden="1" outlineLevel="2">
      <c r="C440" s="73" t="str">
        <v>SpareOfferB22</v>
      </c>
      <c r="D440" t="s">
        <v>302</v>
      </c>
      <c r="G440" s="89">
        <v>0</v>
      </c>
      <c r="H440" s="89">
        <v>0</v>
      </c>
      <c r="I440" s="89">
        <v>0</v>
      </c>
      <c r="J440" s="89">
        <v>0</v>
      </c>
      <c r="K440" s="89">
        <v>0</v>
      </c>
      <c r="L440" s="89">
        <v>0</v>
      </c>
      <c r="M440" s="227">
        <v>0</v>
      </c>
      <c r="O440" s="89">
        <v>0</v>
      </c>
      <c r="P440" s="89">
        <v>0</v>
      </c>
      <c r="Q440" s="89">
        <v>0</v>
      </c>
      <c r="R440" s="89">
        <v>0</v>
      </c>
      <c r="S440" s="89">
        <v>0</v>
      </c>
      <c r="T440" s="89">
        <v>0</v>
      </c>
      <c r="U440" s="206">
        <v>0</v>
      </c>
    </row>
    <row r="441" spans="3:21" hidden="1" outlineLevel="2">
      <c r="C441" s="73" t="str">
        <v>SpareOfferB23</v>
      </c>
      <c r="D441" t="s">
        <v>302</v>
      </c>
      <c r="G441" s="89">
        <v>0</v>
      </c>
      <c r="H441" s="89">
        <v>0</v>
      </c>
      <c r="I441" s="89">
        <v>0</v>
      </c>
      <c r="J441" s="89">
        <v>0</v>
      </c>
      <c r="K441" s="89">
        <v>0</v>
      </c>
      <c r="L441" s="89">
        <v>0</v>
      </c>
      <c r="M441" s="227">
        <v>0</v>
      </c>
      <c r="O441" s="89">
        <v>0</v>
      </c>
      <c r="P441" s="89">
        <v>0</v>
      </c>
      <c r="Q441" s="89">
        <v>0</v>
      </c>
      <c r="R441" s="89">
        <v>0</v>
      </c>
      <c r="S441" s="89">
        <v>0</v>
      </c>
      <c r="T441" s="89">
        <v>0</v>
      </c>
      <c r="U441" s="206">
        <v>0</v>
      </c>
    </row>
    <row r="442" spans="3:21" hidden="1" outlineLevel="2">
      <c r="C442" s="73" t="str">
        <v>SpareOfferB24</v>
      </c>
      <c r="D442" t="s">
        <v>302</v>
      </c>
      <c r="G442" s="89">
        <v>0</v>
      </c>
      <c r="H442" s="89">
        <v>0</v>
      </c>
      <c r="I442" s="89">
        <v>0</v>
      </c>
      <c r="J442" s="89">
        <v>0</v>
      </c>
      <c r="K442" s="89">
        <v>0</v>
      </c>
      <c r="L442" s="89">
        <v>0</v>
      </c>
      <c r="M442" s="227">
        <v>0</v>
      </c>
      <c r="O442" s="89">
        <v>0</v>
      </c>
      <c r="P442" s="89">
        <v>0</v>
      </c>
      <c r="Q442" s="89">
        <v>0</v>
      </c>
      <c r="R442" s="89">
        <v>0</v>
      </c>
      <c r="S442" s="89">
        <v>0</v>
      </c>
      <c r="T442" s="89">
        <v>0</v>
      </c>
      <c r="U442" s="206">
        <v>0</v>
      </c>
    </row>
    <row r="443" spans="3:21" hidden="1" outlineLevel="2">
      <c r="C443" s="73" t="str">
        <v>SpareOfferB25</v>
      </c>
      <c r="D443" t="s">
        <v>302</v>
      </c>
      <c r="G443" s="89">
        <v>0</v>
      </c>
      <c r="H443" s="89">
        <v>0</v>
      </c>
      <c r="I443" s="89">
        <v>0</v>
      </c>
      <c r="J443" s="89">
        <v>0</v>
      </c>
      <c r="K443" s="89">
        <v>0</v>
      </c>
      <c r="L443" s="89">
        <v>0</v>
      </c>
      <c r="M443" s="227">
        <v>0</v>
      </c>
      <c r="O443" s="89">
        <v>0</v>
      </c>
      <c r="P443" s="89">
        <v>0</v>
      </c>
      <c r="Q443" s="89">
        <v>0</v>
      </c>
      <c r="R443" s="89">
        <v>0</v>
      </c>
      <c r="S443" s="89">
        <v>0</v>
      </c>
      <c r="T443" s="89">
        <v>0</v>
      </c>
      <c r="U443" s="206">
        <v>0</v>
      </c>
    </row>
    <row r="444" spans="3:21" hidden="1" outlineLevel="2">
      <c r="C444" s="73" t="str">
        <v>SpareOfferB26</v>
      </c>
      <c r="D444" t="s">
        <v>302</v>
      </c>
      <c r="G444" s="89">
        <v>0</v>
      </c>
      <c r="H444" s="89">
        <v>0</v>
      </c>
      <c r="I444" s="89">
        <v>0</v>
      </c>
      <c r="J444" s="89">
        <v>0</v>
      </c>
      <c r="K444" s="89">
        <v>0</v>
      </c>
      <c r="L444" s="89">
        <v>0</v>
      </c>
      <c r="M444" s="227">
        <v>0</v>
      </c>
      <c r="O444" s="89">
        <v>0</v>
      </c>
      <c r="P444" s="89">
        <v>0</v>
      </c>
      <c r="Q444" s="89">
        <v>0</v>
      </c>
      <c r="R444" s="89">
        <v>0</v>
      </c>
      <c r="S444" s="89">
        <v>0</v>
      </c>
      <c r="T444" s="89">
        <v>0</v>
      </c>
      <c r="U444" s="206">
        <v>0</v>
      </c>
    </row>
    <row r="445" spans="3:21" hidden="1" outlineLevel="2">
      <c r="C445" s="73" t="str">
        <v>SpareOfferB27</v>
      </c>
      <c r="D445" t="s">
        <v>302</v>
      </c>
      <c r="G445" s="89">
        <v>0</v>
      </c>
      <c r="H445" s="89">
        <v>0</v>
      </c>
      <c r="I445" s="89">
        <v>0</v>
      </c>
      <c r="J445" s="89">
        <v>0</v>
      </c>
      <c r="K445" s="89">
        <v>0</v>
      </c>
      <c r="L445" s="89">
        <v>0</v>
      </c>
      <c r="M445" s="227">
        <v>0</v>
      </c>
      <c r="O445" s="89">
        <v>0</v>
      </c>
      <c r="P445" s="89">
        <v>0</v>
      </c>
      <c r="Q445" s="89">
        <v>0</v>
      </c>
      <c r="R445" s="89">
        <v>0</v>
      </c>
      <c r="S445" s="89">
        <v>0</v>
      </c>
      <c r="T445" s="89">
        <v>0</v>
      </c>
      <c r="U445" s="206">
        <v>0</v>
      </c>
    </row>
    <row r="446" spans="3:21" hidden="1" outlineLevel="2">
      <c r="C446" s="73" t="str">
        <v>SpareOfferB28</v>
      </c>
      <c r="D446" t="s">
        <v>302</v>
      </c>
      <c r="G446" s="89">
        <v>0</v>
      </c>
      <c r="H446" s="89">
        <v>0</v>
      </c>
      <c r="I446" s="89">
        <v>0</v>
      </c>
      <c r="J446" s="89">
        <v>0</v>
      </c>
      <c r="K446" s="89">
        <v>0</v>
      </c>
      <c r="L446" s="89">
        <v>0</v>
      </c>
      <c r="M446" s="227">
        <v>0</v>
      </c>
      <c r="O446" s="89">
        <v>0</v>
      </c>
      <c r="P446" s="89">
        <v>0</v>
      </c>
      <c r="Q446" s="89">
        <v>0</v>
      </c>
      <c r="R446" s="89">
        <v>0</v>
      </c>
      <c r="S446" s="89">
        <v>0</v>
      </c>
      <c r="T446" s="89">
        <v>0</v>
      </c>
      <c r="U446" s="206">
        <v>0</v>
      </c>
    </row>
    <row r="447" spans="3:21" hidden="1" outlineLevel="2">
      <c r="C447" s="73" t="str">
        <v>SpareOfferB29</v>
      </c>
      <c r="D447" t="s">
        <v>302</v>
      </c>
      <c r="G447" s="89">
        <v>0</v>
      </c>
      <c r="H447" s="89">
        <v>0</v>
      </c>
      <c r="I447" s="89">
        <v>0</v>
      </c>
      <c r="J447" s="89">
        <v>0</v>
      </c>
      <c r="K447" s="89">
        <v>0</v>
      </c>
      <c r="L447" s="89">
        <v>0</v>
      </c>
      <c r="M447" s="227">
        <v>0</v>
      </c>
      <c r="O447" s="89">
        <v>0</v>
      </c>
      <c r="P447" s="89">
        <v>0</v>
      </c>
      <c r="Q447" s="89">
        <v>0</v>
      </c>
      <c r="R447" s="89">
        <v>0</v>
      </c>
      <c r="S447" s="89">
        <v>0</v>
      </c>
      <c r="T447" s="89">
        <v>0</v>
      </c>
      <c r="U447" s="206">
        <v>0</v>
      </c>
    </row>
    <row r="448" spans="3:21" hidden="1" outlineLevel="2">
      <c r="C448" s="73" t="str">
        <v>SpareOfferB30</v>
      </c>
      <c r="D448" t="s">
        <v>302</v>
      </c>
      <c r="G448" s="89">
        <v>0</v>
      </c>
      <c r="H448" s="89">
        <v>0</v>
      </c>
      <c r="I448" s="89">
        <v>0</v>
      </c>
      <c r="J448" s="89">
        <v>0</v>
      </c>
      <c r="K448" s="89">
        <v>0</v>
      </c>
      <c r="L448" s="89">
        <v>0</v>
      </c>
      <c r="M448" s="227">
        <v>0</v>
      </c>
      <c r="O448" s="89">
        <v>0</v>
      </c>
      <c r="P448" s="89">
        <v>0</v>
      </c>
      <c r="Q448" s="89">
        <v>0</v>
      </c>
      <c r="R448" s="89">
        <v>0</v>
      </c>
      <c r="S448" s="89">
        <v>0</v>
      </c>
      <c r="T448" s="89">
        <v>0</v>
      </c>
      <c r="U448" s="206">
        <v>0</v>
      </c>
    </row>
    <row r="449" spans="2:21" hidden="1" outlineLevel="2">
      <c r="C449" s="73" t="str">
        <v>SpareOfferB31</v>
      </c>
      <c r="D449" t="s">
        <v>302</v>
      </c>
      <c r="G449" s="89">
        <v>0</v>
      </c>
      <c r="H449" s="89">
        <v>0</v>
      </c>
      <c r="I449" s="89">
        <v>0</v>
      </c>
      <c r="J449" s="89">
        <v>0</v>
      </c>
      <c r="K449" s="89">
        <v>0</v>
      </c>
      <c r="L449" s="89">
        <v>0</v>
      </c>
      <c r="M449" s="227">
        <v>0</v>
      </c>
      <c r="O449" s="89">
        <v>0</v>
      </c>
      <c r="P449" s="89">
        <v>0</v>
      </c>
      <c r="Q449" s="89">
        <v>0</v>
      </c>
      <c r="R449" s="89">
        <v>0</v>
      </c>
      <c r="S449" s="89">
        <v>0</v>
      </c>
      <c r="T449" s="89">
        <v>0</v>
      </c>
      <c r="U449" s="206">
        <v>0</v>
      </c>
    </row>
    <row r="450" spans="2:21" hidden="1" outlineLevel="2">
      <c r="C450" s="73" t="str">
        <v>SpareOfferB32</v>
      </c>
      <c r="D450" t="s">
        <v>302</v>
      </c>
      <c r="G450" s="89">
        <v>0</v>
      </c>
      <c r="H450" s="89">
        <v>0</v>
      </c>
      <c r="I450" s="89">
        <v>0</v>
      </c>
      <c r="J450" s="89">
        <v>0</v>
      </c>
      <c r="K450" s="89">
        <v>0</v>
      </c>
      <c r="L450" s="89">
        <v>0</v>
      </c>
      <c r="M450" s="227">
        <v>0</v>
      </c>
      <c r="O450" s="89">
        <v>0</v>
      </c>
      <c r="P450" s="89">
        <v>0</v>
      </c>
      <c r="Q450" s="89">
        <v>0</v>
      </c>
      <c r="R450" s="89">
        <v>0</v>
      </c>
      <c r="S450" s="89">
        <v>0</v>
      </c>
      <c r="T450" s="89">
        <v>0</v>
      </c>
      <c r="U450" s="206">
        <v>0</v>
      </c>
    </row>
    <row r="451" spans="2:21" hidden="1" outlineLevel="2">
      <c r="C451" s="73" t="str">
        <v>SpareOfferB33</v>
      </c>
      <c r="D451" t="s">
        <v>302</v>
      </c>
      <c r="G451" s="89">
        <v>0</v>
      </c>
      <c r="H451" s="89">
        <v>0</v>
      </c>
      <c r="I451" s="89">
        <v>0</v>
      </c>
      <c r="J451" s="89">
        <v>0</v>
      </c>
      <c r="K451" s="89">
        <v>0</v>
      </c>
      <c r="L451" s="89">
        <v>0</v>
      </c>
      <c r="M451" s="227">
        <v>0</v>
      </c>
      <c r="O451" s="89">
        <v>0</v>
      </c>
      <c r="P451" s="89">
        <v>0</v>
      </c>
      <c r="Q451" s="89">
        <v>0</v>
      </c>
      <c r="R451" s="89">
        <v>0</v>
      </c>
      <c r="S451" s="89">
        <v>0</v>
      </c>
      <c r="T451" s="89">
        <v>0</v>
      </c>
      <c r="U451" s="206">
        <v>0</v>
      </c>
    </row>
    <row r="452" spans="2:21" hidden="1" outlineLevel="2">
      <c r="C452" s="73" t="str">
        <v>SpareOfferB34</v>
      </c>
      <c r="D452" t="s">
        <v>302</v>
      </c>
      <c r="G452" s="89">
        <v>0</v>
      </c>
      <c r="H452" s="89">
        <v>0</v>
      </c>
      <c r="I452" s="89">
        <v>0</v>
      </c>
      <c r="J452" s="89">
        <v>0</v>
      </c>
      <c r="K452" s="89">
        <v>0</v>
      </c>
      <c r="L452" s="89">
        <v>0</v>
      </c>
      <c r="M452" s="227">
        <v>0</v>
      </c>
      <c r="O452" s="89">
        <v>0</v>
      </c>
      <c r="P452" s="89">
        <v>0</v>
      </c>
      <c r="Q452" s="89">
        <v>0</v>
      </c>
      <c r="R452" s="89">
        <v>0</v>
      </c>
      <c r="S452" s="89">
        <v>0</v>
      </c>
      <c r="T452" s="89">
        <v>0</v>
      </c>
      <c r="U452" s="206">
        <v>0</v>
      </c>
    </row>
    <row r="453" spans="2:21" outlineLevel="1" collapsed="1">
      <c r="C453" s="73" t="str">
        <v>SpareOfferB35</v>
      </c>
      <c r="D453" t="s">
        <v>302</v>
      </c>
      <c r="G453" s="89">
        <v>0</v>
      </c>
      <c r="H453" s="89">
        <v>0</v>
      </c>
      <c r="I453" s="89">
        <v>0</v>
      </c>
      <c r="J453" s="89">
        <v>0</v>
      </c>
      <c r="K453" s="89">
        <v>0</v>
      </c>
      <c r="L453" s="89">
        <v>0</v>
      </c>
      <c r="M453" s="227">
        <v>0</v>
      </c>
      <c r="O453" s="89">
        <v>0</v>
      </c>
      <c r="P453" s="89">
        <v>0</v>
      </c>
      <c r="Q453" s="89">
        <v>0</v>
      </c>
      <c r="R453" s="89">
        <v>0</v>
      </c>
      <c r="S453" s="89">
        <v>0</v>
      </c>
      <c r="T453" s="89">
        <v>0</v>
      </c>
      <c r="U453" s="206">
        <v>0</v>
      </c>
    </row>
    <row r="454" spans="2:21" outlineLevel="1"/>
    <row r="455" spans="2:21" outlineLevel="1">
      <c r="G455">
        <f t="shared" ref="G455:O455" si="69">MATCH(G456,wholesale.data.tiers,0)</f>
        <v>1</v>
      </c>
      <c r="H455">
        <f t="shared" si="69"/>
        <v>2</v>
      </c>
      <c r="I455">
        <f t="shared" si="69"/>
        <v>3</v>
      </c>
      <c r="J455">
        <f t="shared" si="69"/>
        <v>4</v>
      </c>
      <c r="K455">
        <f t="shared" si="69"/>
        <v>5</v>
      </c>
      <c r="L455">
        <f t="shared" si="69"/>
        <v>6</v>
      </c>
      <c r="M455">
        <f t="shared" si="69"/>
        <v>7</v>
      </c>
      <c r="N455">
        <f t="shared" si="69"/>
        <v>8</v>
      </c>
      <c r="O455">
        <f t="shared" si="69"/>
        <v>9</v>
      </c>
    </row>
    <row r="456" spans="2:21" ht="23" outlineLevel="1">
      <c r="C456" s="35" t="s">
        <v>303</v>
      </c>
      <c r="F456" s="104" t="s">
        <v>89</v>
      </c>
      <c r="G456" s="95" t="str">
        <f t="array" ref="G456:O456">TRANSPOSE(wholesale.data.tiers)</f>
        <v>W/S spare tier 1</v>
      </c>
      <c r="H456" s="95" t="str">
        <v>W/S spare tier 2</v>
      </c>
      <c r="I456" s="95" t="str">
        <v>W/S spare tier 3</v>
      </c>
      <c r="J456" s="95" t="str">
        <v>W/S spare tier 4</v>
      </c>
      <c r="K456" s="95" t="str">
        <v>W/S spare tier 5</v>
      </c>
      <c r="L456" s="95" t="str">
        <v>W/S spare tier 6</v>
      </c>
      <c r="M456" s="95" t="str">
        <v>W/S spare tier 7</v>
      </c>
      <c r="N456" s="95" t="str">
        <v>W/S spare tier 8</v>
      </c>
      <c r="O456" s="95" t="str">
        <v>W/S spare tier 9</v>
      </c>
    </row>
    <row r="457" spans="2:21" outlineLevel="1">
      <c r="C457" s="91" t="s">
        <v>89</v>
      </c>
      <c r="D457" t="s">
        <v>304</v>
      </c>
      <c r="F457" s="114">
        <f>SUMPRODUCT(F458:F492,subscription.split.segment.2)</f>
        <v>0</v>
      </c>
      <c r="G457" s="114">
        <f t="shared" ref="G457:O457" si="70">SUMPRODUCT(G458:G492,subscription.split.segment.2)</f>
        <v>0</v>
      </c>
      <c r="H457" s="114">
        <f t="shared" si="70"/>
        <v>0</v>
      </c>
      <c r="I457" s="114">
        <f t="shared" si="70"/>
        <v>0</v>
      </c>
      <c r="J457" s="114">
        <f t="shared" si="70"/>
        <v>0</v>
      </c>
      <c r="K457" s="114">
        <f t="shared" si="70"/>
        <v>0</v>
      </c>
      <c r="L457" s="114">
        <f t="shared" si="70"/>
        <v>0</v>
      </c>
      <c r="M457" s="114">
        <f t="shared" si="70"/>
        <v>0</v>
      </c>
      <c r="N457" s="114">
        <f t="shared" si="70"/>
        <v>0</v>
      </c>
      <c r="O457" s="114">
        <f t="shared" si="70"/>
        <v>0</v>
      </c>
    </row>
    <row r="458" spans="2:21" outlineLevel="1">
      <c r="B458">
        <f t="shared" ref="B458:B492" si="71">MATCH(C458,offers.segment.all,0)</f>
        <v>36</v>
      </c>
      <c r="C458" s="73" t="str">
        <f t="array" ref="C458:C492">offers.segment.2</f>
        <v>SpareOfferB1</v>
      </c>
      <c r="D458" t="s">
        <v>304</v>
      </c>
      <c r="F458" s="89">
        <f t="array" ref="F458:F492">data.per.month.segment.2</f>
        <v>0</v>
      </c>
      <c r="G458" s="124">
        <f t="shared" ref="G458:O467" si="72">INDEX(distribution.data.wholesale.tier,$B458,G$455)*$F458</f>
        <v>0</v>
      </c>
      <c r="H458" s="124">
        <f t="shared" si="72"/>
        <v>0</v>
      </c>
      <c r="I458" s="124">
        <f t="shared" si="72"/>
        <v>0</v>
      </c>
      <c r="J458" s="124">
        <f t="shared" si="72"/>
        <v>0</v>
      </c>
      <c r="K458" s="124">
        <f t="shared" si="72"/>
        <v>0</v>
      </c>
      <c r="L458" s="124">
        <f t="shared" si="72"/>
        <v>0</v>
      </c>
      <c r="M458" s="124">
        <f t="shared" si="72"/>
        <v>0</v>
      </c>
      <c r="N458" s="124">
        <f t="shared" si="72"/>
        <v>0</v>
      </c>
      <c r="O458" s="124">
        <f t="shared" si="72"/>
        <v>0</v>
      </c>
    </row>
    <row r="459" spans="2:21" hidden="1" outlineLevel="2">
      <c r="B459">
        <f t="shared" si="71"/>
        <v>37</v>
      </c>
      <c r="C459" s="73" t="str">
        <v>SpareOfferB2</v>
      </c>
      <c r="D459" t="s">
        <v>304</v>
      </c>
      <c r="F459" s="89">
        <v>0</v>
      </c>
      <c r="G459" s="124">
        <f t="shared" si="72"/>
        <v>0</v>
      </c>
      <c r="H459" s="124">
        <f t="shared" si="72"/>
        <v>0</v>
      </c>
      <c r="I459" s="124">
        <f t="shared" si="72"/>
        <v>0</v>
      </c>
      <c r="J459" s="124">
        <f t="shared" si="72"/>
        <v>0</v>
      </c>
      <c r="K459" s="124">
        <f t="shared" si="72"/>
        <v>0</v>
      </c>
      <c r="L459" s="124">
        <f t="shared" si="72"/>
        <v>0</v>
      </c>
      <c r="M459" s="124">
        <f t="shared" si="72"/>
        <v>0</v>
      </c>
      <c r="N459" s="124">
        <f t="shared" si="72"/>
        <v>0</v>
      </c>
      <c r="O459" s="124">
        <f t="shared" si="72"/>
        <v>0</v>
      </c>
    </row>
    <row r="460" spans="2:21" hidden="1" outlineLevel="2">
      <c r="B460">
        <f t="shared" si="71"/>
        <v>38</v>
      </c>
      <c r="C460" s="73" t="str">
        <v>SpareOfferB3</v>
      </c>
      <c r="D460" t="s">
        <v>304</v>
      </c>
      <c r="F460" s="89">
        <v>0</v>
      </c>
      <c r="G460" s="124">
        <f t="shared" si="72"/>
        <v>0</v>
      </c>
      <c r="H460" s="124">
        <f t="shared" si="72"/>
        <v>0</v>
      </c>
      <c r="I460" s="124">
        <f t="shared" si="72"/>
        <v>0</v>
      </c>
      <c r="J460" s="124">
        <f t="shared" si="72"/>
        <v>0</v>
      </c>
      <c r="K460" s="124">
        <f t="shared" si="72"/>
        <v>0</v>
      </c>
      <c r="L460" s="124">
        <f t="shared" si="72"/>
        <v>0</v>
      </c>
      <c r="M460" s="124">
        <f t="shared" si="72"/>
        <v>0</v>
      </c>
      <c r="N460" s="124">
        <f t="shared" si="72"/>
        <v>0</v>
      </c>
      <c r="O460" s="124">
        <f t="shared" si="72"/>
        <v>0</v>
      </c>
    </row>
    <row r="461" spans="2:21" hidden="1" outlineLevel="2">
      <c r="B461">
        <f t="shared" si="71"/>
        <v>39</v>
      </c>
      <c r="C461" s="73" t="str">
        <v>SpareOfferB4</v>
      </c>
      <c r="D461" t="s">
        <v>304</v>
      </c>
      <c r="F461" s="89">
        <v>0</v>
      </c>
      <c r="G461" s="124">
        <f t="shared" si="72"/>
        <v>0</v>
      </c>
      <c r="H461" s="124">
        <f t="shared" si="72"/>
        <v>0</v>
      </c>
      <c r="I461" s="124">
        <f t="shared" si="72"/>
        <v>0</v>
      </c>
      <c r="J461" s="124">
        <f t="shared" si="72"/>
        <v>0</v>
      </c>
      <c r="K461" s="124">
        <f t="shared" si="72"/>
        <v>0</v>
      </c>
      <c r="L461" s="124">
        <f t="shared" si="72"/>
        <v>0</v>
      </c>
      <c r="M461" s="124">
        <f t="shared" si="72"/>
        <v>0</v>
      </c>
      <c r="N461" s="124">
        <f t="shared" si="72"/>
        <v>0</v>
      </c>
      <c r="O461" s="124">
        <f t="shared" si="72"/>
        <v>0</v>
      </c>
    </row>
    <row r="462" spans="2:21" hidden="1" outlineLevel="2">
      <c r="B462">
        <f t="shared" si="71"/>
        <v>40</v>
      </c>
      <c r="C462" s="73" t="str">
        <v>SpareOfferB5</v>
      </c>
      <c r="D462" t="s">
        <v>304</v>
      </c>
      <c r="F462" s="89">
        <v>0</v>
      </c>
      <c r="G462" s="124">
        <f t="shared" si="72"/>
        <v>0</v>
      </c>
      <c r="H462" s="124">
        <f t="shared" si="72"/>
        <v>0</v>
      </c>
      <c r="I462" s="124">
        <f t="shared" si="72"/>
        <v>0</v>
      </c>
      <c r="J462" s="124">
        <f t="shared" si="72"/>
        <v>0</v>
      </c>
      <c r="K462" s="124">
        <f t="shared" si="72"/>
        <v>0</v>
      </c>
      <c r="L462" s="124">
        <f t="shared" si="72"/>
        <v>0</v>
      </c>
      <c r="M462" s="124">
        <f t="shared" si="72"/>
        <v>0</v>
      </c>
      <c r="N462" s="124">
        <f t="shared" si="72"/>
        <v>0</v>
      </c>
      <c r="O462" s="124">
        <f t="shared" si="72"/>
        <v>0</v>
      </c>
    </row>
    <row r="463" spans="2:21" hidden="1" outlineLevel="2">
      <c r="B463">
        <f t="shared" si="71"/>
        <v>41</v>
      </c>
      <c r="C463" s="73" t="str">
        <v>SpareOfferB6</v>
      </c>
      <c r="D463" t="s">
        <v>304</v>
      </c>
      <c r="F463" s="89">
        <v>0</v>
      </c>
      <c r="G463" s="124">
        <f t="shared" si="72"/>
        <v>0</v>
      </c>
      <c r="H463" s="124">
        <f t="shared" si="72"/>
        <v>0</v>
      </c>
      <c r="I463" s="124">
        <f t="shared" si="72"/>
        <v>0</v>
      </c>
      <c r="J463" s="124">
        <f t="shared" si="72"/>
        <v>0</v>
      </c>
      <c r="K463" s="124">
        <f t="shared" si="72"/>
        <v>0</v>
      </c>
      <c r="L463" s="124">
        <f t="shared" si="72"/>
        <v>0</v>
      </c>
      <c r="M463" s="124">
        <f t="shared" si="72"/>
        <v>0</v>
      </c>
      <c r="N463" s="124">
        <f t="shared" si="72"/>
        <v>0</v>
      </c>
      <c r="O463" s="124">
        <f t="shared" si="72"/>
        <v>0</v>
      </c>
    </row>
    <row r="464" spans="2:21" hidden="1" outlineLevel="2">
      <c r="B464">
        <f t="shared" si="71"/>
        <v>42</v>
      </c>
      <c r="C464" s="73" t="str">
        <v>SpareOfferB7</v>
      </c>
      <c r="D464" t="s">
        <v>304</v>
      </c>
      <c r="F464" s="89">
        <v>0</v>
      </c>
      <c r="G464" s="124">
        <f t="shared" si="72"/>
        <v>0</v>
      </c>
      <c r="H464" s="124">
        <f t="shared" si="72"/>
        <v>0</v>
      </c>
      <c r="I464" s="124">
        <f t="shared" si="72"/>
        <v>0</v>
      </c>
      <c r="J464" s="124">
        <f t="shared" si="72"/>
        <v>0</v>
      </c>
      <c r="K464" s="124">
        <f t="shared" si="72"/>
        <v>0</v>
      </c>
      <c r="L464" s="124">
        <f t="shared" si="72"/>
        <v>0</v>
      </c>
      <c r="M464" s="124">
        <f t="shared" si="72"/>
        <v>0</v>
      </c>
      <c r="N464" s="124">
        <f t="shared" si="72"/>
        <v>0</v>
      </c>
      <c r="O464" s="124">
        <f t="shared" si="72"/>
        <v>0</v>
      </c>
    </row>
    <row r="465" spans="2:15" hidden="1" outlineLevel="2">
      <c r="B465">
        <f t="shared" si="71"/>
        <v>43</v>
      </c>
      <c r="C465" s="73" t="str">
        <v>SpareOfferB8</v>
      </c>
      <c r="D465" t="s">
        <v>304</v>
      </c>
      <c r="F465" s="89">
        <v>0</v>
      </c>
      <c r="G465" s="124">
        <f t="shared" si="72"/>
        <v>0</v>
      </c>
      <c r="H465" s="124">
        <f t="shared" si="72"/>
        <v>0</v>
      </c>
      <c r="I465" s="124">
        <f t="shared" si="72"/>
        <v>0</v>
      </c>
      <c r="J465" s="124">
        <f t="shared" si="72"/>
        <v>0</v>
      </c>
      <c r="K465" s="124">
        <f t="shared" si="72"/>
        <v>0</v>
      </c>
      <c r="L465" s="124">
        <f t="shared" si="72"/>
        <v>0</v>
      </c>
      <c r="M465" s="124">
        <f t="shared" si="72"/>
        <v>0</v>
      </c>
      <c r="N465" s="124">
        <f t="shared" si="72"/>
        <v>0</v>
      </c>
      <c r="O465" s="124">
        <f t="shared" si="72"/>
        <v>0</v>
      </c>
    </row>
    <row r="466" spans="2:15" hidden="1" outlineLevel="2">
      <c r="B466">
        <f t="shared" si="71"/>
        <v>44</v>
      </c>
      <c r="C466" s="73" t="str">
        <v>SpareOfferB9</v>
      </c>
      <c r="D466" t="s">
        <v>304</v>
      </c>
      <c r="F466" s="89">
        <v>0</v>
      </c>
      <c r="G466" s="124">
        <f t="shared" si="72"/>
        <v>0</v>
      </c>
      <c r="H466" s="124">
        <f t="shared" si="72"/>
        <v>0</v>
      </c>
      <c r="I466" s="124">
        <f t="shared" si="72"/>
        <v>0</v>
      </c>
      <c r="J466" s="124">
        <f t="shared" si="72"/>
        <v>0</v>
      </c>
      <c r="K466" s="124">
        <f t="shared" si="72"/>
        <v>0</v>
      </c>
      <c r="L466" s="124">
        <f t="shared" si="72"/>
        <v>0</v>
      </c>
      <c r="M466" s="124">
        <f t="shared" si="72"/>
        <v>0</v>
      </c>
      <c r="N466" s="124">
        <f t="shared" si="72"/>
        <v>0</v>
      </c>
      <c r="O466" s="124">
        <f t="shared" si="72"/>
        <v>0</v>
      </c>
    </row>
    <row r="467" spans="2:15" hidden="1" outlineLevel="2">
      <c r="B467">
        <f t="shared" si="71"/>
        <v>45</v>
      </c>
      <c r="C467" s="73" t="str">
        <v>SpareOfferB10</v>
      </c>
      <c r="D467" t="s">
        <v>304</v>
      </c>
      <c r="F467" s="89">
        <v>0</v>
      </c>
      <c r="G467" s="124">
        <f t="shared" si="72"/>
        <v>0</v>
      </c>
      <c r="H467" s="124">
        <f t="shared" si="72"/>
        <v>0</v>
      </c>
      <c r="I467" s="124">
        <f t="shared" si="72"/>
        <v>0</v>
      </c>
      <c r="J467" s="124">
        <f t="shared" si="72"/>
        <v>0</v>
      </c>
      <c r="K467" s="124">
        <f t="shared" si="72"/>
        <v>0</v>
      </c>
      <c r="L467" s="124">
        <f t="shared" si="72"/>
        <v>0</v>
      </c>
      <c r="M467" s="124">
        <f t="shared" si="72"/>
        <v>0</v>
      </c>
      <c r="N467" s="124">
        <f t="shared" si="72"/>
        <v>0</v>
      </c>
      <c r="O467" s="124">
        <f t="shared" si="72"/>
        <v>0</v>
      </c>
    </row>
    <row r="468" spans="2:15" hidden="1" outlineLevel="2">
      <c r="B468">
        <f t="shared" si="71"/>
        <v>46</v>
      </c>
      <c r="C468" s="73" t="str">
        <v>SpareOfferB11</v>
      </c>
      <c r="F468" s="89">
        <v>0</v>
      </c>
      <c r="G468" s="124">
        <f t="shared" ref="G468:O477" si="73">INDEX(distribution.data.wholesale.tier,$B468,G$455)*$F468</f>
        <v>0</v>
      </c>
      <c r="H468" s="124">
        <f t="shared" si="73"/>
        <v>0</v>
      </c>
      <c r="I468" s="124">
        <f t="shared" si="73"/>
        <v>0</v>
      </c>
      <c r="J468" s="124">
        <f t="shared" si="73"/>
        <v>0</v>
      </c>
      <c r="K468" s="124">
        <f t="shared" si="73"/>
        <v>0</v>
      </c>
      <c r="L468" s="124">
        <f t="shared" si="73"/>
        <v>0</v>
      </c>
      <c r="M468" s="124">
        <f t="shared" si="73"/>
        <v>0</v>
      </c>
      <c r="N468" s="124">
        <f t="shared" si="73"/>
        <v>0</v>
      </c>
      <c r="O468" s="124">
        <f t="shared" si="73"/>
        <v>0</v>
      </c>
    </row>
    <row r="469" spans="2:15" hidden="1" outlineLevel="2">
      <c r="B469">
        <f t="shared" si="71"/>
        <v>47</v>
      </c>
      <c r="C469" s="73" t="str">
        <v>SpareOfferB12</v>
      </c>
      <c r="F469" s="89">
        <v>0</v>
      </c>
      <c r="G469" s="124">
        <f t="shared" si="73"/>
        <v>0</v>
      </c>
      <c r="H469" s="124">
        <f t="shared" si="73"/>
        <v>0</v>
      </c>
      <c r="I469" s="124">
        <f t="shared" si="73"/>
        <v>0</v>
      </c>
      <c r="J469" s="124">
        <f t="shared" si="73"/>
        <v>0</v>
      </c>
      <c r="K469" s="124">
        <f t="shared" si="73"/>
        <v>0</v>
      </c>
      <c r="L469" s="124">
        <f t="shared" si="73"/>
        <v>0</v>
      </c>
      <c r="M469" s="124">
        <f t="shared" si="73"/>
        <v>0</v>
      </c>
      <c r="N469" s="124">
        <f t="shared" si="73"/>
        <v>0</v>
      </c>
      <c r="O469" s="124">
        <f t="shared" si="73"/>
        <v>0</v>
      </c>
    </row>
    <row r="470" spans="2:15" hidden="1" outlineLevel="2">
      <c r="B470">
        <f t="shared" si="71"/>
        <v>48</v>
      </c>
      <c r="C470" s="73" t="str">
        <v>SpareOfferB13</v>
      </c>
      <c r="F470" s="89">
        <v>0</v>
      </c>
      <c r="G470" s="124">
        <f t="shared" si="73"/>
        <v>0</v>
      </c>
      <c r="H470" s="124">
        <f t="shared" si="73"/>
        <v>0</v>
      </c>
      <c r="I470" s="124">
        <f t="shared" si="73"/>
        <v>0</v>
      </c>
      <c r="J470" s="124">
        <f t="shared" si="73"/>
        <v>0</v>
      </c>
      <c r="K470" s="124">
        <f t="shared" si="73"/>
        <v>0</v>
      </c>
      <c r="L470" s="124">
        <f t="shared" si="73"/>
        <v>0</v>
      </c>
      <c r="M470" s="124">
        <f t="shared" si="73"/>
        <v>0</v>
      </c>
      <c r="N470" s="124">
        <f t="shared" si="73"/>
        <v>0</v>
      </c>
      <c r="O470" s="124">
        <f t="shared" si="73"/>
        <v>0</v>
      </c>
    </row>
    <row r="471" spans="2:15" hidden="1" outlineLevel="2">
      <c r="B471">
        <f t="shared" si="71"/>
        <v>49</v>
      </c>
      <c r="C471" s="73" t="str">
        <v>SpareOfferB14</v>
      </c>
      <c r="F471" s="89">
        <v>0</v>
      </c>
      <c r="G471" s="124">
        <f t="shared" si="73"/>
        <v>0</v>
      </c>
      <c r="H471" s="124">
        <f t="shared" si="73"/>
        <v>0</v>
      </c>
      <c r="I471" s="124">
        <f t="shared" si="73"/>
        <v>0</v>
      </c>
      <c r="J471" s="124">
        <f t="shared" si="73"/>
        <v>0</v>
      </c>
      <c r="K471" s="124">
        <f t="shared" si="73"/>
        <v>0</v>
      </c>
      <c r="L471" s="124">
        <f t="shared" si="73"/>
        <v>0</v>
      </c>
      <c r="M471" s="124">
        <f t="shared" si="73"/>
        <v>0</v>
      </c>
      <c r="N471" s="124">
        <f t="shared" si="73"/>
        <v>0</v>
      </c>
      <c r="O471" s="124">
        <f t="shared" si="73"/>
        <v>0</v>
      </c>
    </row>
    <row r="472" spans="2:15" hidden="1" outlineLevel="2">
      <c r="B472">
        <f t="shared" si="71"/>
        <v>50</v>
      </c>
      <c r="C472" s="73" t="str">
        <v>SpareOfferB15</v>
      </c>
      <c r="F472" s="89">
        <v>0</v>
      </c>
      <c r="G472" s="124">
        <f t="shared" si="73"/>
        <v>0</v>
      </c>
      <c r="H472" s="124">
        <f t="shared" si="73"/>
        <v>0</v>
      </c>
      <c r="I472" s="124">
        <f t="shared" si="73"/>
        <v>0</v>
      </c>
      <c r="J472" s="124">
        <f t="shared" si="73"/>
        <v>0</v>
      </c>
      <c r="K472" s="124">
        <f t="shared" si="73"/>
        <v>0</v>
      </c>
      <c r="L472" s="124">
        <f t="shared" si="73"/>
        <v>0</v>
      </c>
      <c r="M472" s="124">
        <f t="shared" si="73"/>
        <v>0</v>
      </c>
      <c r="N472" s="124">
        <f t="shared" si="73"/>
        <v>0</v>
      </c>
      <c r="O472" s="124">
        <f t="shared" si="73"/>
        <v>0</v>
      </c>
    </row>
    <row r="473" spans="2:15" hidden="1" outlineLevel="2">
      <c r="B473">
        <f t="shared" si="71"/>
        <v>51</v>
      </c>
      <c r="C473" s="73" t="str">
        <v>SpareOfferB16</v>
      </c>
      <c r="D473" t="s">
        <v>304</v>
      </c>
      <c r="F473" s="89">
        <v>0</v>
      </c>
      <c r="G473" s="124">
        <f t="shared" si="73"/>
        <v>0</v>
      </c>
      <c r="H473" s="124">
        <f t="shared" si="73"/>
        <v>0</v>
      </c>
      <c r="I473" s="124">
        <f t="shared" si="73"/>
        <v>0</v>
      </c>
      <c r="J473" s="124">
        <f t="shared" si="73"/>
        <v>0</v>
      </c>
      <c r="K473" s="124">
        <f t="shared" si="73"/>
        <v>0</v>
      </c>
      <c r="L473" s="124">
        <f t="shared" si="73"/>
        <v>0</v>
      </c>
      <c r="M473" s="124">
        <f t="shared" si="73"/>
        <v>0</v>
      </c>
      <c r="N473" s="124">
        <f t="shared" si="73"/>
        <v>0</v>
      </c>
      <c r="O473" s="124">
        <f t="shared" si="73"/>
        <v>0</v>
      </c>
    </row>
    <row r="474" spans="2:15" hidden="1" outlineLevel="2">
      <c r="B474">
        <f t="shared" si="71"/>
        <v>52</v>
      </c>
      <c r="C474" s="73" t="str">
        <v>SpareOfferB17</v>
      </c>
      <c r="D474" t="s">
        <v>304</v>
      </c>
      <c r="F474" s="89">
        <v>0</v>
      </c>
      <c r="G474" s="124">
        <f t="shared" si="73"/>
        <v>0</v>
      </c>
      <c r="H474" s="124">
        <f t="shared" si="73"/>
        <v>0</v>
      </c>
      <c r="I474" s="124">
        <f t="shared" si="73"/>
        <v>0</v>
      </c>
      <c r="J474" s="124">
        <f t="shared" si="73"/>
        <v>0</v>
      </c>
      <c r="K474" s="124">
        <f t="shared" si="73"/>
        <v>0</v>
      </c>
      <c r="L474" s="124">
        <f t="shared" si="73"/>
        <v>0</v>
      </c>
      <c r="M474" s="124">
        <f t="shared" si="73"/>
        <v>0</v>
      </c>
      <c r="N474" s="124">
        <f t="shared" si="73"/>
        <v>0</v>
      </c>
      <c r="O474" s="124">
        <f t="shared" si="73"/>
        <v>0</v>
      </c>
    </row>
    <row r="475" spans="2:15" hidden="1" outlineLevel="2">
      <c r="B475">
        <f t="shared" si="71"/>
        <v>53</v>
      </c>
      <c r="C475" s="73" t="str">
        <v>SpareOfferB18</v>
      </c>
      <c r="D475" t="s">
        <v>304</v>
      </c>
      <c r="F475" s="89">
        <v>0</v>
      </c>
      <c r="G475" s="124">
        <f t="shared" si="73"/>
        <v>0</v>
      </c>
      <c r="H475" s="124">
        <f t="shared" si="73"/>
        <v>0</v>
      </c>
      <c r="I475" s="124">
        <f t="shared" si="73"/>
        <v>0</v>
      </c>
      <c r="J475" s="124">
        <f t="shared" si="73"/>
        <v>0</v>
      </c>
      <c r="K475" s="124">
        <f t="shared" si="73"/>
        <v>0</v>
      </c>
      <c r="L475" s="124">
        <f t="shared" si="73"/>
        <v>0</v>
      </c>
      <c r="M475" s="124">
        <f t="shared" si="73"/>
        <v>0</v>
      </c>
      <c r="N475" s="124">
        <f t="shared" si="73"/>
        <v>0</v>
      </c>
      <c r="O475" s="124">
        <f t="shared" si="73"/>
        <v>0</v>
      </c>
    </row>
    <row r="476" spans="2:15" hidden="1" outlineLevel="2">
      <c r="B476">
        <f t="shared" si="71"/>
        <v>54</v>
      </c>
      <c r="C476" s="73" t="str">
        <v>SpareOfferB19</v>
      </c>
      <c r="D476" t="s">
        <v>304</v>
      </c>
      <c r="F476" s="89">
        <v>0</v>
      </c>
      <c r="G476" s="124">
        <f t="shared" si="73"/>
        <v>0</v>
      </c>
      <c r="H476" s="124">
        <f t="shared" si="73"/>
        <v>0</v>
      </c>
      <c r="I476" s="124">
        <f t="shared" si="73"/>
        <v>0</v>
      </c>
      <c r="J476" s="124">
        <f t="shared" si="73"/>
        <v>0</v>
      </c>
      <c r="K476" s="124">
        <f t="shared" si="73"/>
        <v>0</v>
      </c>
      <c r="L476" s="124">
        <f t="shared" si="73"/>
        <v>0</v>
      </c>
      <c r="M476" s="124">
        <f t="shared" si="73"/>
        <v>0</v>
      </c>
      <c r="N476" s="124">
        <f t="shared" si="73"/>
        <v>0</v>
      </c>
      <c r="O476" s="124">
        <f t="shared" si="73"/>
        <v>0</v>
      </c>
    </row>
    <row r="477" spans="2:15" hidden="1" outlineLevel="2">
      <c r="B477">
        <f t="shared" si="71"/>
        <v>55</v>
      </c>
      <c r="C477" s="73" t="str">
        <v>SpareOfferB20</v>
      </c>
      <c r="D477" t="s">
        <v>304</v>
      </c>
      <c r="F477" s="89">
        <v>0</v>
      </c>
      <c r="G477" s="124">
        <f t="shared" si="73"/>
        <v>0</v>
      </c>
      <c r="H477" s="124">
        <f t="shared" si="73"/>
        <v>0</v>
      </c>
      <c r="I477" s="124">
        <f t="shared" si="73"/>
        <v>0</v>
      </c>
      <c r="J477" s="124">
        <f t="shared" si="73"/>
        <v>0</v>
      </c>
      <c r="K477" s="124">
        <f t="shared" si="73"/>
        <v>0</v>
      </c>
      <c r="L477" s="124">
        <f t="shared" si="73"/>
        <v>0</v>
      </c>
      <c r="M477" s="124">
        <f t="shared" si="73"/>
        <v>0</v>
      </c>
      <c r="N477" s="124">
        <f t="shared" si="73"/>
        <v>0</v>
      </c>
      <c r="O477" s="124">
        <f t="shared" si="73"/>
        <v>0</v>
      </c>
    </row>
    <row r="478" spans="2:15" hidden="1" outlineLevel="2">
      <c r="B478">
        <f t="shared" si="71"/>
        <v>56</v>
      </c>
      <c r="C478" s="73" t="str">
        <v>SpareOfferB21</v>
      </c>
      <c r="D478" t="s">
        <v>304</v>
      </c>
      <c r="F478" s="89">
        <v>0</v>
      </c>
      <c r="G478" s="124">
        <f t="shared" ref="G478:O492" si="74">INDEX(distribution.data.wholesale.tier,$B478,G$455)*$F478</f>
        <v>0</v>
      </c>
      <c r="H478" s="124">
        <f t="shared" si="74"/>
        <v>0</v>
      </c>
      <c r="I478" s="124">
        <f t="shared" si="74"/>
        <v>0</v>
      </c>
      <c r="J478" s="124">
        <f t="shared" si="74"/>
        <v>0</v>
      </c>
      <c r="K478" s="124">
        <f t="shared" si="74"/>
        <v>0</v>
      </c>
      <c r="L478" s="124">
        <f t="shared" si="74"/>
        <v>0</v>
      </c>
      <c r="M478" s="124">
        <f t="shared" si="74"/>
        <v>0</v>
      </c>
      <c r="N478" s="124">
        <f t="shared" si="74"/>
        <v>0</v>
      </c>
      <c r="O478" s="124">
        <f t="shared" si="74"/>
        <v>0</v>
      </c>
    </row>
    <row r="479" spans="2:15" hidden="1" outlineLevel="2">
      <c r="B479">
        <f t="shared" si="71"/>
        <v>57</v>
      </c>
      <c r="C479" s="73" t="str">
        <v>SpareOfferB22</v>
      </c>
      <c r="D479" t="s">
        <v>304</v>
      </c>
      <c r="F479" s="89">
        <v>0</v>
      </c>
      <c r="G479" s="124">
        <f t="shared" si="74"/>
        <v>0</v>
      </c>
      <c r="H479" s="124">
        <f t="shared" si="74"/>
        <v>0</v>
      </c>
      <c r="I479" s="124">
        <f t="shared" si="74"/>
        <v>0</v>
      </c>
      <c r="J479" s="124">
        <f t="shared" si="74"/>
        <v>0</v>
      </c>
      <c r="K479" s="124">
        <f t="shared" si="74"/>
        <v>0</v>
      </c>
      <c r="L479" s="124">
        <f t="shared" si="74"/>
        <v>0</v>
      </c>
      <c r="M479" s="124">
        <f t="shared" si="74"/>
        <v>0</v>
      </c>
      <c r="N479" s="124">
        <f t="shared" si="74"/>
        <v>0</v>
      </c>
      <c r="O479" s="124">
        <f t="shared" si="74"/>
        <v>0</v>
      </c>
    </row>
    <row r="480" spans="2:15" hidden="1" outlineLevel="2">
      <c r="B480">
        <f t="shared" si="71"/>
        <v>58</v>
      </c>
      <c r="C480" s="73" t="str">
        <v>SpareOfferB23</v>
      </c>
      <c r="D480" t="s">
        <v>304</v>
      </c>
      <c r="F480" s="89">
        <v>0</v>
      </c>
      <c r="G480" s="124">
        <f t="shared" si="74"/>
        <v>0</v>
      </c>
      <c r="H480" s="124">
        <f t="shared" si="74"/>
        <v>0</v>
      </c>
      <c r="I480" s="124">
        <f t="shared" si="74"/>
        <v>0</v>
      </c>
      <c r="J480" s="124">
        <f t="shared" si="74"/>
        <v>0</v>
      </c>
      <c r="K480" s="124">
        <f t="shared" si="74"/>
        <v>0</v>
      </c>
      <c r="L480" s="124">
        <f t="shared" si="74"/>
        <v>0</v>
      </c>
      <c r="M480" s="124">
        <f t="shared" si="74"/>
        <v>0</v>
      </c>
      <c r="N480" s="124">
        <f t="shared" si="74"/>
        <v>0</v>
      </c>
      <c r="O480" s="124">
        <f t="shared" si="74"/>
        <v>0</v>
      </c>
    </row>
    <row r="481" spans="2:15" hidden="1" outlineLevel="2">
      <c r="B481">
        <f t="shared" si="71"/>
        <v>59</v>
      </c>
      <c r="C481" s="73" t="str">
        <v>SpareOfferB24</v>
      </c>
      <c r="D481" t="s">
        <v>304</v>
      </c>
      <c r="F481" s="89">
        <v>0</v>
      </c>
      <c r="G481" s="124">
        <f t="shared" si="74"/>
        <v>0</v>
      </c>
      <c r="H481" s="124">
        <f t="shared" si="74"/>
        <v>0</v>
      </c>
      <c r="I481" s="124">
        <f t="shared" si="74"/>
        <v>0</v>
      </c>
      <c r="J481" s="124">
        <f t="shared" si="74"/>
        <v>0</v>
      </c>
      <c r="K481" s="124">
        <f t="shared" si="74"/>
        <v>0</v>
      </c>
      <c r="L481" s="124">
        <f t="shared" si="74"/>
        <v>0</v>
      </c>
      <c r="M481" s="124">
        <f t="shared" si="74"/>
        <v>0</v>
      </c>
      <c r="N481" s="124">
        <f t="shared" si="74"/>
        <v>0</v>
      </c>
      <c r="O481" s="124">
        <f t="shared" si="74"/>
        <v>0</v>
      </c>
    </row>
    <row r="482" spans="2:15" hidden="1" outlineLevel="2">
      <c r="B482">
        <f t="shared" si="71"/>
        <v>60</v>
      </c>
      <c r="C482" s="73" t="str">
        <v>SpareOfferB25</v>
      </c>
      <c r="D482" t="s">
        <v>304</v>
      </c>
      <c r="F482" s="89">
        <v>0</v>
      </c>
      <c r="G482" s="124">
        <f t="shared" si="74"/>
        <v>0</v>
      </c>
      <c r="H482" s="124">
        <f t="shared" si="74"/>
        <v>0</v>
      </c>
      <c r="I482" s="124">
        <f t="shared" si="74"/>
        <v>0</v>
      </c>
      <c r="J482" s="124">
        <f t="shared" si="74"/>
        <v>0</v>
      </c>
      <c r="K482" s="124">
        <f t="shared" si="74"/>
        <v>0</v>
      </c>
      <c r="L482" s="124">
        <f t="shared" si="74"/>
        <v>0</v>
      </c>
      <c r="M482" s="124">
        <f t="shared" si="74"/>
        <v>0</v>
      </c>
      <c r="N482" s="124">
        <f t="shared" si="74"/>
        <v>0</v>
      </c>
      <c r="O482" s="124">
        <f t="shared" si="74"/>
        <v>0</v>
      </c>
    </row>
    <row r="483" spans="2:15" hidden="1" outlineLevel="2">
      <c r="B483">
        <f t="shared" si="71"/>
        <v>61</v>
      </c>
      <c r="C483" s="73" t="str">
        <v>SpareOfferB26</v>
      </c>
      <c r="D483" t="s">
        <v>304</v>
      </c>
      <c r="F483" s="89">
        <v>0</v>
      </c>
      <c r="G483" s="124">
        <f t="shared" si="74"/>
        <v>0</v>
      </c>
      <c r="H483" s="124">
        <f t="shared" si="74"/>
        <v>0</v>
      </c>
      <c r="I483" s="124">
        <f t="shared" si="74"/>
        <v>0</v>
      </c>
      <c r="J483" s="124">
        <f t="shared" si="74"/>
        <v>0</v>
      </c>
      <c r="K483" s="124">
        <f t="shared" si="74"/>
        <v>0</v>
      </c>
      <c r="L483" s="124">
        <f t="shared" si="74"/>
        <v>0</v>
      </c>
      <c r="M483" s="124">
        <f t="shared" si="74"/>
        <v>0</v>
      </c>
      <c r="N483" s="124">
        <f t="shared" si="74"/>
        <v>0</v>
      </c>
      <c r="O483" s="124">
        <f t="shared" si="74"/>
        <v>0</v>
      </c>
    </row>
    <row r="484" spans="2:15" hidden="1" outlineLevel="2">
      <c r="B484">
        <f t="shared" si="71"/>
        <v>62</v>
      </c>
      <c r="C484" s="73" t="str">
        <v>SpareOfferB27</v>
      </c>
      <c r="D484" t="s">
        <v>304</v>
      </c>
      <c r="F484" s="89">
        <v>0</v>
      </c>
      <c r="G484" s="124">
        <f t="shared" si="74"/>
        <v>0</v>
      </c>
      <c r="H484" s="124">
        <f t="shared" si="74"/>
        <v>0</v>
      </c>
      <c r="I484" s="124">
        <f t="shared" si="74"/>
        <v>0</v>
      </c>
      <c r="J484" s="124">
        <f t="shared" si="74"/>
        <v>0</v>
      </c>
      <c r="K484" s="124">
        <f t="shared" si="74"/>
        <v>0</v>
      </c>
      <c r="L484" s="124">
        <f t="shared" si="74"/>
        <v>0</v>
      </c>
      <c r="M484" s="124">
        <f t="shared" si="74"/>
        <v>0</v>
      </c>
      <c r="N484" s="124">
        <f t="shared" si="74"/>
        <v>0</v>
      </c>
      <c r="O484" s="124">
        <f t="shared" si="74"/>
        <v>0</v>
      </c>
    </row>
    <row r="485" spans="2:15" hidden="1" outlineLevel="2">
      <c r="B485">
        <f t="shared" si="71"/>
        <v>63</v>
      </c>
      <c r="C485" s="73" t="str">
        <v>SpareOfferB28</v>
      </c>
      <c r="D485" t="s">
        <v>304</v>
      </c>
      <c r="F485" s="89">
        <v>0</v>
      </c>
      <c r="G485" s="124">
        <f t="shared" si="74"/>
        <v>0</v>
      </c>
      <c r="H485" s="124">
        <f t="shared" si="74"/>
        <v>0</v>
      </c>
      <c r="I485" s="124">
        <f t="shared" si="74"/>
        <v>0</v>
      </c>
      <c r="J485" s="124">
        <f t="shared" si="74"/>
        <v>0</v>
      </c>
      <c r="K485" s="124">
        <f t="shared" si="74"/>
        <v>0</v>
      </c>
      <c r="L485" s="124">
        <f t="shared" si="74"/>
        <v>0</v>
      </c>
      <c r="M485" s="124">
        <f t="shared" si="74"/>
        <v>0</v>
      </c>
      <c r="N485" s="124">
        <f t="shared" si="74"/>
        <v>0</v>
      </c>
      <c r="O485" s="124">
        <f t="shared" si="74"/>
        <v>0</v>
      </c>
    </row>
    <row r="486" spans="2:15" hidden="1" outlineLevel="2">
      <c r="B486">
        <f t="shared" si="71"/>
        <v>64</v>
      </c>
      <c r="C486" s="73" t="str">
        <v>SpareOfferB29</v>
      </c>
      <c r="D486" t="s">
        <v>304</v>
      </c>
      <c r="F486" s="89">
        <v>0</v>
      </c>
      <c r="G486" s="124">
        <f t="shared" si="74"/>
        <v>0</v>
      </c>
      <c r="H486" s="124">
        <f t="shared" si="74"/>
        <v>0</v>
      </c>
      <c r="I486" s="124">
        <f t="shared" si="74"/>
        <v>0</v>
      </c>
      <c r="J486" s="124">
        <f t="shared" si="74"/>
        <v>0</v>
      </c>
      <c r="K486" s="124">
        <f t="shared" si="74"/>
        <v>0</v>
      </c>
      <c r="L486" s="124">
        <f t="shared" si="74"/>
        <v>0</v>
      </c>
      <c r="M486" s="124">
        <f t="shared" si="74"/>
        <v>0</v>
      </c>
      <c r="N486" s="124">
        <f t="shared" si="74"/>
        <v>0</v>
      </c>
      <c r="O486" s="124">
        <f t="shared" si="74"/>
        <v>0</v>
      </c>
    </row>
    <row r="487" spans="2:15" hidden="1" outlineLevel="2">
      <c r="B487">
        <f t="shared" si="71"/>
        <v>65</v>
      </c>
      <c r="C487" s="73" t="str">
        <v>SpareOfferB30</v>
      </c>
      <c r="D487" t="s">
        <v>304</v>
      </c>
      <c r="F487" s="89">
        <v>0</v>
      </c>
      <c r="G487" s="124">
        <f t="shared" si="74"/>
        <v>0</v>
      </c>
      <c r="H487" s="124">
        <f t="shared" si="74"/>
        <v>0</v>
      </c>
      <c r="I487" s="124">
        <f t="shared" si="74"/>
        <v>0</v>
      </c>
      <c r="J487" s="124">
        <f t="shared" si="74"/>
        <v>0</v>
      </c>
      <c r="K487" s="124">
        <f t="shared" si="74"/>
        <v>0</v>
      </c>
      <c r="L487" s="124">
        <f t="shared" si="74"/>
        <v>0</v>
      </c>
      <c r="M487" s="124">
        <f t="shared" si="74"/>
        <v>0</v>
      </c>
      <c r="N487" s="124">
        <f t="shared" si="74"/>
        <v>0</v>
      </c>
      <c r="O487" s="124">
        <f t="shared" si="74"/>
        <v>0</v>
      </c>
    </row>
    <row r="488" spans="2:15" hidden="1" outlineLevel="2">
      <c r="B488">
        <f t="shared" si="71"/>
        <v>66</v>
      </c>
      <c r="C488" s="73" t="str">
        <v>SpareOfferB31</v>
      </c>
      <c r="D488" t="s">
        <v>304</v>
      </c>
      <c r="F488" s="89">
        <v>0</v>
      </c>
      <c r="G488" s="124">
        <f t="shared" si="74"/>
        <v>0</v>
      </c>
      <c r="H488" s="124">
        <f t="shared" si="74"/>
        <v>0</v>
      </c>
      <c r="I488" s="124">
        <f t="shared" si="74"/>
        <v>0</v>
      </c>
      <c r="J488" s="124">
        <f t="shared" si="74"/>
        <v>0</v>
      </c>
      <c r="K488" s="124">
        <f t="shared" si="74"/>
        <v>0</v>
      </c>
      <c r="L488" s="124">
        <f t="shared" si="74"/>
        <v>0</v>
      </c>
      <c r="M488" s="124">
        <f t="shared" si="74"/>
        <v>0</v>
      </c>
      <c r="N488" s="124">
        <f t="shared" si="74"/>
        <v>0</v>
      </c>
      <c r="O488" s="124">
        <f t="shared" si="74"/>
        <v>0</v>
      </c>
    </row>
    <row r="489" spans="2:15" hidden="1" outlineLevel="2">
      <c r="B489">
        <f t="shared" si="71"/>
        <v>67</v>
      </c>
      <c r="C489" s="73" t="str">
        <v>SpareOfferB32</v>
      </c>
      <c r="D489" t="s">
        <v>304</v>
      </c>
      <c r="F489" s="89">
        <v>0</v>
      </c>
      <c r="G489" s="124">
        <f t="shared" si="74"/>
        <v>0</v>
      </c>
      <c r="H489" s="124">
        <f t="shared" si="74"/>
        <v>0</v>
      </c>
      <c r="I489" s="124">
        <f t="shared" si="74"/>
        <v>0</v>
      </c>
      <c r="J489" s="124">
        <f t="shared" si="74"/>
        <v>0</v>
      </c>
      <c r="K489" s="124">
        <f t="shared" si="74"/>
        <v>0</v>
      </c>
      <c r="L489" s="124">
        <f t="shared" si="74"/>
        <v>0</v>
      </c>
      <c r="M489" s="124">
        <f t="shared" si="74"/>
        <v>0</v>
      </c>
      <c r="N489" s="124">
        <f t="shared" si="74"/>
        <v>0</v>
      </c>
      <c r="O489" s="124">
        <f t="shared" si="74"/>
        <v>0</v>
      </c>
    </row>
    <row r="490" spans="2:15" hidden="1" outlineLevel="2">
      <c r="B490">
        <f t="shared" si="71"/>
        <v>68</v>
      </c>
      <c r="C490" s="73" t="str">
        <v>SpareOfferB33</v>
      </c>
      <c r="D490" t="s">
        <v>304</v>
      </c>
      <c r="F490" s="89">
        <v>0</v>
      </c>
      <c r="G490" s="124">
        <f t="shared" si="74"/>
        <v>0</v>
      </c>
      <c r="H490" s="124">
        <f t="shared" si="74"/>
        <v>0</v>
      </c>
      <c r="I490" s="124">
        <f t="shared" si="74"/>
        <v>0</v>
      </c>
      <c r="J490" s="124">
        <f t="shared" si="74"/>
        <v>0</v>
      </c>
      <c r="K490" s="124">
        <f t="shared" si="74"/>
        <v>0</v>
      </c>
      <c r="L490" s="124">
        <f t="shared" si="74"/>
        <v>0</v>
      </c>
      <c r="M490" s="124">
        <f t="shared" si="74"/>
        <v>0</v>
      </c>
      <c r="N490" s="124">
        <f t="shared" si="74"/>
        <v>0</v>
      </c>
      <c r="O490" s="124">
        <f t="shared" si="74"/>
        <v>0</v>
      </c>
    </row>
    <row r="491" spans="2:15" hidden="1" outlineLevel="2">
      <c r="B491">
        <f t="shared" si="71"/>
        <v>69</v>
      </c>
      <c r="C491" s="73" t="str">
        <v>SpareOfferB34</v>
      </c>
      <c r="D491" t="s">
        <v>304</v>
      </c>
      <c r="F491" s="89">
        <v>0</v>
      </c>
      <c r="G491" s="124">
        <f t="shared" si="74"/>
        <v>0</v>
      </c>
      <c r="H491" s="124">
        <f t="shared" si="74"/>
        <v>0</v>
      </c>
      <c r="I491" s="124">
        <f t="shared" si="74"/>
        <v>0</v>
      </c>
      <c r="J491" s="124">
        <f t="shared" si="74"/>
        <v>0</v>
      </c>
      <c r="K491" s="124">
        <f t="shared" si="74"/>
        <v>0</v>
      </c>
      <c r="L491" s="124">
        <f t="shared" si="74"/>
        <v>0</v>
      </c>
      <c r="M491" s="124">
        <f t="shared" si="74"/>
        <v>0</v>
      </c>
      <c r="N491" s="124">
        <f t="shared" si="74"/>
        <v>0</v>
      </c>
      <c r="O491" s="124">
        <f t="shared" si="74"/>
        <v>0</v>
      </c>
    </row>
    <row r="492" spans="2:15" outlineLevel="1" collapsed="1">
      <c r="B492">
        <f t="shared" si="71"/>
        <v>70</v>
      </c>
      <c r="C492" s="73" t="str">
        <v>SpareOfferB35</v>
      </c>
      <c r="D492" t="s">
        <v>304</v>
      </c>
      <c r="F492" s="89">
        <v>0</v>
      </c>
      <c r="G492" s="124">
        <f t="shared" si="74"/>
        <v>0</v>
      </c>
      <c r="H492" s="124">
        <f t="shared" si="74"/>
        <v>0</v>
      </c>
      <c r="I492" s="124">
        <f t="shared" si="74"/>
        <v>0</v>
      </c>
      <c r="J492" s="124">
        <f t="shared" si="74"/>
        <v>0</v>
      </c>
      <c r="K492" s="124">
        <f t="shared" si="74"/>
        <v>0</v>
      </c>
      <c r="L492" s="124">
        <f t="shared" si="74"/>
        <v>0</v>
      </c>
      <c r="M492" s="124">
        <f t="shared" si="74"/>
        <v>0</v>
      </c>
      <c r="N492" s="124">
        <f t="shared" si="74"/>
        <v>0</v>
      </c>
      <c r="O492" s="124">
        <f t="shared" si="74"/>
        <v>0</v>
      </c>
    </row>
    <row r="493" spans="2:15" outlineLevel="1"/>
    <row r="494" spans="2:15" outlineLevel="1">
      <c r="B494" s="91" t="s">
        <v>325</v>
      </c>
    </row>
    <row r="495" spans="2:15" outlineLevel="1"/>
    <row r="496" spans="2:15" outlineLevel="1">
      <c r="F496" s="149" t="s">
        <v>89</v>
      </c>
    </row>
    <row r="497" spans="3:6" outlineLevel="1">
      <c r="C497" s="93" t="s">
        <v>270</v>
      </c>
      <c r="F497" s="114">
        <f>SUMPRODUCT(F498:F532,subscription.split.segment.2)</f>
        <v>0</v>
      </c>
    </row>
    <row r="498" spans="3:6" outlineLevel="1">
      <c r="C498" s="73" t="str">
        <f t="array" ref="C498:C532">offers.segment.2</f>
        <v>SpareOfferB1</v>
      </c>
      <c r="D498" s="97" t="s">
        <v>189</v>
      </c>
      <c r="F498" s="142">
        <f>F536+F575+F614</f>
        <v>0</v>
      </c>
    </row>
    <row r="499" spans="3:6" hidden="1" outlineLevel="2">
      <c r="C499" s="73" t="str">
        <v>SpareOfferB2</v>
      </c>
      <c r="D499" s="97" t="s">
        <v>189</v>
      </c>
      <c r="F499" s="142">
        <f t="shared" ref="F499:F532" si="75">F537+F576+F615</f>
        <v>0</v>
      </c>
    </row>
    <row r="500" spans="3:6" hidden="1" outlineLevel="2">
      <c r="C500" s="73" t="str">
        <v>SpareOfferB3</v>
      </c>
      <c r="D500" s="97" t="s">
        <v>189</v>
      </c>
      <c r="F500" s="142">
        <f t="shared" si="75"/>
        <v>0</v>
      </c>
    </row>
    <row r="501" spans="3:6" hidden="1" outlineLevel="2">
      <c r="C501" s="73" t="str">
        <v>SpareOfferB4</v>
      </c>
      <c r="D501" s="97" t="s">
        <v>189</v>
      </c>
      <c r="F501" s="142">
        <f t="shared" si="75"/>
        <v>0</v>
      </c>
    </row>
    <row r="502" spans="3:6" hidden="1" outlineLevel="2">
      <c r="C502" s="73" t="str">
        <v>SpareOfferB5</v>
      </c>
      <c r="D502" s="97" t="s">
        <v>189</v>
      </c>
      <c r="F502" s="142">
        <f t="shared" si="75"/>
        <v>0</v>
      </c>
    </row>
    <row r="503" spans="3:6" hidden="1" outlineLevel="2">
      <c r="C503" s="73" t="str">
        <v>SpareOfferB6</v>
      </c>
      <c r="D503" s="97" t="s">
        <v>189</v>
      </c>
      <c r="F503" s="142">
        <f t="shared" si="75"/>
        <v>0</v>
      </c>
    </row>
    <row r="504" spans="3:6" hidden="1" outlineLevel="2">
      <c r="C504" s="73" t="str">
        <v>SpareOfferB7</v>
      </c>
      <c r="D504" s="97" t="s">
        <v>189</v>
      </c>
      <c r="F504" s="142">
        <f t="shared" si="75"/>
        <v>0</v>
      </c>
    </row>
    <row r="505" spans="3:6" hidden="1" outlineLevel="2">
      <c r="C505" s="73" t="str">
        <v>SpareOfferB8</v>
      </c>
      <c r="D505" s="97" t="s">
        <v>189</v>
      </c>
      <c r="F505" s="142">
        <f t="shared" si="75"/>
        <v>0</v>
      </c>
    </row>
    <row r="506" spans="3:6" hidden="1" outlineLevel="2">
      <c r="C506" s="73" t="str">
        <v>SpareOfferB9</v>
      </c>
      <c r="D506" s="97" t="s">
        <v>189</v>
      </c>
      <c r="F506" s="142">
        <f t="shared" si="75"/>
        <v>0</v>
      </c>
    </row>
    <row r="507" spans="3:6" hidden="1" outlineLevel="2">
      <c r="C507" s="73" t="str">
        <v>SpareOfferB10</v>
      </c>
      <c r="D507" s="97" t="s">
        <v>189</v>
      </c>
      <c r="F507" s="142">
        <f t="shared" si="75"/>
        <v>0</v>
      </c>
    </row>
    <row r="508" spans="3:6" hidden="1" outlineLevel="2">
      <c r="C508" s="73" t="str">
        <v>SpareOfferB11</v>
      </c>
      <c r="D508" s="97" t="s">
        <v>189</v>
      </c>
      <c r="F508" s="142">
        <f t="shared" si="75"/>
        <v>0</v>
      </c>
    </row>
    <row r="509" spans="3:6" hidden="1" outlineLevel="2">
      <c r="C509" s="73" t="str">
        <v>SpareOfferB12</v>
      </c>
      <c r="D509" s="97" t="s">
        <v>189</v>
      </c>
      <c r="F509" s="142">
        <f t="shared" si="75"/>
        <v>0</v>
      </c>
    </row>
    <row r="510" spans="3:6" hidden="1" outlineLevel="2">
      <c r="C510" s="73" t="str">
        <v>SpareOfferB13</v>
      </c>
      <c r="D510" s="97" t="s">
        <v>189</v>
      </c>
      <c r="F510" s="142">
        <f t="shared" si="75"/>
        <v>0</v>
      </c>
    </row>
    <row r="511" spans="3:6" hidden="1" outlineLevel="2">
      <c r="C511" s="73" t="str">
        <v>SpareOfferB14</v>
      </c>
      <c r="D511" s="97" t="s">
        <v>189</v>
      </c>
      <c r="F511" s="142">
        <f t="shared" si="75"/>
        <v>0</v>
      </c>
    </row>
    <row r="512" spans="3:6" hidden="1" outlineLevel="2">
      <c r="C512" s="73" t="str">
        <v>SpareOfferB15</v>
      </c>
      <c r="D512" s="97" t="s">
        <v>189</v>
      </c>
      <c r="F512" s="142">
        <f t="shared" si="75"/>
        <v>0</v>
      </c>
    </row>
    <row r="513" spans="3:6" hidden="1" outlineLevel="2">
      <c r="C513" s="73" t="str">
        <v>SpareOfferB16</v>
      </c>
      <c r="D513" s="97" t="s">
        <v>189</v>
      </c>
      <c r="F513" s="142">
        <f t="shared" si="75"/>
        <v>0</v>
      </c>
    </row>
    <row r="514" spans="3:6" hidden="1" outlineLevel="2">
      <c r="C514" s="73" t="str">
        <v>SpareOfferB17</v>
      </c>
      <c r="D514" s="97" t="s">
        <v>189</v>
      </c>
      <c r="F514" s="142">
        <f t="shared" si="75"/>
        <v>0</v>
      </c>
    </row>
    <row r="515" spans="3:6" hidden="1" outlineLevel="2">
      <c r="C515" s="73" t="str">
        <v>SpareOfferB18</v>
      </c>
      <c r="D515" s="97" t="s">
        <v>189</v>
      </c>
      <c r="F515" s="142">
        <f t="shared" si="75"/>
        <v>0</v>
      </c>
    </row>
    <row r="516" spans="3:6" hidden="1" outlineLevel="2">
      <c r="C516" s="73" t="str">
        <v>SpareOfferB19</v>
      </c>
      <c r="D516" s="97" t="s">
        <v>189</v>
      </c>
      <c r="F516" s="142">
        <f t="shared" si="75"/>
        <v>0</v>
      </c>
    </row>
    <row r="517" spans="3:6" hidden="1" outlineLevel="2">
      <c r="C517" s="73" t="str">
        <v>SpareOfferB20</v>
      </c>
      <c r="D517" s="97" t="s">
        <v>189</v>
      </c>
      <c r="F517" s="142">
        <f t="shared" si="75"/>
        <v>0</v>
      </c>
    </row>
    <row r="518" spans="3:6" hidden="1" outlineLevel="2">
      <c r="C518" s="73" t="str">
        <v>SpareOfferB21</v>
      </c>
      <c r="D518" s="97" t="s">
        <v>189</v>
      </c>
      <c r="F518" s="142">
        <f t="shared" si="75"/>
        <v>0</v>
      </c>
    </row>
    <row r="519" spans="3:6" hidden="1" outlineLevel="2">
      <c r="C519" s="73" t="str">
        <v>SpareOfferB22</v>
      </c>
      <c r="D519" s="97" t="s">
        <v>189</v>
      </c>
      <c r="F519" s="142">
        <f t="shared" si="75"/>
        <v>0</v>
      </c>
    </row>
    <row r="520" spans="3:6" hidden="1" outlineLevel="2">
      <c r="C520" s="73" t="str">
        <v>SpareOfferB23</v>
      </c>
      <c r="D520" s="97" t="s">
        <v>189</v>
      </c>
      <c r="F520" s="142">
        <f t="shared" si="75"/>
        <v>0</v>
      </c>
    </row>
    <row r="521" spans="3:6" hidden="1" outlineLevel="2">
      <c r="C521" s="73" t="str">
        <v>SpareOfferB24</v>
      </c>
      <c r="D521" s="97" t="s">
        <v>189</v>
      </c>
      <c r="F521" s="142">
        <f t="shared" si="75"/>
        <v>0</v>
      </c>
    </row>
    <row r="522" spans="3:6" hidden="1" outlineLevel="2">
      <c r="C522" s="73" t="str">
        <v>SpareOfferB25</v>
      </c>
      <c r="D522" s="97" t="s">
        <v>189</v>
      </c>
      <c r="F522" s="142">
        <f t="shared" si="75"/>
        <v>0</v>
      </c>
    </row>
    <row r="523" spans="3:6" hidden="1" outlineLevel="2">
      <c r="C523" s="73" t="str">
        <v>SpareOfferB26</v>
      </c>
      <c r="D523" s="97" t="s">
        <v>189</v>
      </c>
      <c r="F523" s="142">
        <f t="shared" si="75"/>
        <v>0</v>
      </c>
    </row>
    <row r="524" spans="3:6" hidden="1" outlineLevel="2">
      <c r="C524" s="73" t="str">
        <v>SpareOfferB27</v>
      </c>
      <c r="D524" s="97" t="s">
        <v>189</v>
      </c>
      <c r="F524" s="142">
        <f t="shared" si="75"/>
        <v>0</v>
      </c>
    </row>
    <row r="525" spans="3:6" hidden="1" outlineLevel="2">
      <c r="C525" s="73" t="str">
        <v>SpareOfferB28</v>
      </c>
      <c r="D525" s="97" t="s">
        <v>189</v>
      </c>
      <c r="F525" s="142">
        <f t="shared" si="75"/>
        <v>0</v>
      </c>
    </row>
    <row r="526" spans="3:6" hidden="1" outlineLevel="2">
      <c r="C526" s="73" t="str">
        <v>SpareOfferB29</v>
      </c>
      <c r="D526" s="97" t="s">
        <v>189</v>
      </c>
      <c r="F526" s="142">
        <f t="shared" si="75"/>
        <v>0</v>
      </c>
    </row>
    <row r="527" spans="3:6" hidden="1" outlineLevel="2">
      <c r="C527" s="73" t="str">
        <v>SpareOfferB30</v>
      </c>
      <c r="D527" s="97" t="s">
        <v>189</v>
      </c>
      <c r="F527" s="142">
        <f t="shared" si="75"/>
        <v>0</v>
      </c>
    </row>
    <row r="528" spans="3:6" hidden="1" outlineLevel="2">
      <c r="C528" s="73" t="str">
        <v>SpareOfferB31</v>
      </c>
      <c r="D528" s="97" t="s">
        <v>189</v>
      </c>
      <c r="F528" s="142">
        <f t="shared" si="75"/>
        <v>0</v>
      </c>
    </row>
    <row r="529" spans="3:7" hidden="1" outlineLevel="2">
      <c r="C529" s="73" t="str">
        <v>SpareOfferB32</v>
      </c>
      <c r="D529" s="97" t="s">
        <v>189</v>
      </c>
      <c r="F529" s="142">
        <f t="shared" si="75"/>
        <v>0</v>
      </c>
    </row>
    <row r="530" spans="3:7" hidden="1" outlineLevel="2">
      <c r="C530" s="73" t="str">
        <v>SpareOfferB33</v>
      </c>
      <c r="D530" s="97" t="s">
        <v>189</v>
      </c>
      <c r="F530" s="142">
        <f t="shared" si="75"/>
        <v>0</v>
      </c>
    </row>
    <row r="531" spans="3:7" hidden="1" outlineLevel="2">
      <c r="C531" s="73" t="str">
        <v>SpareOfferB34</v>
      </c>
      <c r="D531" s="97" t="s">
        <v>189</v>
      </c>
      <c r="F531" s="142">
        <f t="shared" si="75"/>
        <v>0</v>
      </c>
    </row>
    <row r="532" spans="3:7" outlineLevel="1" collapsed="1">
      <c r="C532" s="73" t="str">
        <v>SpareOfferB35</v>
      </c>
      <c r="D532" s="97" t="s">
        <v>189</v>
      </c>
      <c r="F532" s="142">
        <f t="shared" si="75"/>
        <v>0</v>
      </c>
    </row>
    <row r="533" spans="3:7" ht="12" outlineLevel="1">
      <c r="F533" s="153" t="s">
        <v>329</v>
      </c>
    </row>
    <row r="534" spans="3:7" outlineLevel="1">
      <c r="C534" s="93" t="s">
        <v>318</v>
      </c>
      <c r="F534" s="149" t="s">
        <v>89</v>
      </c>
    </row>
    <row r="535" spans="3:7" outlineLevel="1">
      <c r="C535" s="35" t="s">
        <v>89</v>
      </c>
      <c r="D535" s="97" t="s">
        <v>189</v>
      </c>
      <c r="F535" s="101">
        <f>$F$22</f>
        <v>0</v>
      </c>
      <c r="G535" s="1" t="s">
        <v>310</v>
      </c>
    </row>
    <row r="536" spans="3:7" outlineLevel="1">
      <c r="C536" s="73" t="str">
        <f t="array" ref="C536:C570">offers.segment.2</f>
        <v>SpareOfferB1</v>
      </c>
      <c r="D536" s="97" t="s">
        <v>189</v>
      </c>
      <c r="F536" s="168">
        <f t="shared" ref="F536:F570" si="76">F$535*IF(G536=0, 0, 1)</f>
        <v>0</v>
      </c>
      <c r="G536" s="228">
        <f t="array" ref="G536:G570">subscription.split.segment.2</f>
        <v>0</v>
      </c>
    </row>
    <row r="537" spans="3:7" hidden="1" outlineLevel="2">
      <c r="C537" s="73" t="str">
        <v>SpareOfferB2</v>
      </c>
      <c r="D537" s="97" t="s">
        <v>189</v>
      </c>
      <c r="F537" s="168">
        <f t="shared" si="76"/>
        <v>0</v>
      </c>
      <c r="G537" s="228">
        <v>0</v>
      </c>
    </row>
    <row r="538" spans="3:7" hidden="1" outlineLevel="2">
      <c r="C538" s="73" t="str">
        <v>SpareOfferB3</v>
      </c>
      <c r="D538" s="97" t="s">
        <v>189</v>
      </c>
      <c r="F538" s="168">
        <f t="shared" si="76"/>
        <v>0</v>
      </c>
      <c r="G538" s="228">
        <v>0</v>
      </c>
    </row>
    <row r="539" spans="3:7" hidden="1" outlineLevel="2">
      <c r="C539" s="73" t="str">
        <v>SpareOfferB4</v>
      </c>
      <c r="D539" s="97" t="s">
        <v>189</v>
      </c>
      <c r="F539" s="168">
        <f t="shared" si="76"/>
        <v>0</v>
      </c>
      <c r="G539" s="228">
        <v>0</v>
      </c>
    </row>
    <row r="540" spans="3:7" hidden="1" outlineLevel="2">
      <c r="C540" s="73" t="str">
        <v>SpareOfferB5</v>
      </c>
      <c r="D540" s="97" t="s">
        <v>189</v>
      </c>
      <c r="F540" s="168">
        <f t="shared" si="76"/>
        <v>0</v>
      </c>
      <c r="G540" s="228">
        <v>0</v>
      </c>
    </row>
    <row r="541" spans="3:7" hidden="1" outlineLevel="2">
      <c r="C541" s="73" t="str">
        <v>SpareOfferB6</v>
      </c>
      <c r="D541" s="97" t="s">
        <v>189</v>
      </c>
      <c r="F541" s="168">
        <f t="shared" si="76"/>
        <v>0</v>
      </c>
      <c r="G541" s="228">
        <v>0</v>
      </c>
    </row>
    <row r="542" spans="3:7" hidden="1" outlineLevel="2">
      <c r="C542" s="73" t="str">
        <v>SpareOfferB7</v>
      </c>
      <c r="D542" s="97" t="s">
        <v>189</v>
      </c>
      <c r="F542" s="168">
        <f t="shared" si="76"/>
        <v>0</v>
      </c>
      <c r="G542" s="228">
        <v>0</v>
      </c>
    </row>
    <row r="543" spans="3:7" hidden="1" outlineLevel="2">
      <c r="C543" s="73" t="str">
        <v>SpareOfferB8</v>
      </c>
      <c r="D543" s="97" t="s">
        <v>189</v>
      </c>
      <c r="F543" s="168">
        <f t="shared" si="76"/>
        <v>0</v>
      </c>
      <c r="G543" s="228">
        <v>0</v>
      </c>
    </row>
    <row r="544" spans="3:7" hidden="1" outlineLevel="2">
      <c r="C544" s="73" t="str">
        <v>SpareOfferB9</v>
      </c>
      <c r="D544" s="97" t="s">
        <v>189</v>
      </c>
      <c r="F544" s="168">
        <f t="shared" si="76"/>
        <v>0</v>
      </c>
      <c r="G544" s="228">
        <v>0</v>
      </c>
    </row>
    <row r="545" spans="3:7" hidden="1" outlineLevel="2">
      <c r="C545" s="73" t="str">
        <v>SpareOfferB10</v>
      </c>
      <c r="D545" s="97" t="s">
        <v>189</v>
      </c>
      <c r="F545" s="168">
        <f t="shared" si="76"/>
        <v>0</v>
      </c>
      <c r="G545" s="228">
        <v>0</v>
      </c>
    </row>
    <row r="546" spans="3:7" hidden="1" outlineLevel="2">
      <c r="C546" s="73" t="str">
        <v>SpareOfferB11</v>
      </c>
      <c r="D546" s="97" t="s">
        <v>189</v>
      </c>
      <c r="F546" s="168">
        <f t="shared" si="76"/>
        <v>0</v>
      </c>
      <c r="G546" s="228">
        <v>0</v>
      </c>
    </row>
    <row r="547" spans="3:7" hidden="1" outlineLevel="2">
      <c r="C547" s="73" t="str">
        <v>SpareOfferB12</v>
      </c>
      <c r="D547" s="97" t="s">
        <v>189</v>
      </c>
      <c r="F547" s="168">
        <f t="shared" si="76"/>
        <v>0</v>
      </c>
      <c r="G547" s="228">
        <v>0</v>
      </c>
    </row>
    <row r="548" spans="3:7" hidden="1" outlineLevel="2">
      <c r="C548" s="73" t="str">
        <v>SpareOfferB13</v>
      </c>
      <c r="D548" s="97" t="s">
        <v>189</v>
      </c>
      <c r="F548" s="168">
        <f t="shared" si="76"/>
        <v>0</v>
      </c>
      <c r="G548" s="228">
        <v>0</v>
      </c>
    </row>
    <row r="549" spans="3:7" hidden="1" outlineLevel="2">
      <c r="C549" s="73" t="str">
        <v>SpareOfferB14</v>
      </c>
      <c r="D549" s="97" t="s">
        <v>189</v>
      </c>
      <c r="F549" s="168">
        <f t="shared" si="76"/>
        <v>0</v>
      </c>
      <c r="G549" s="228">
        <v>0</v>
      </c>
    </row>
    <row r="550" spans="3:7" hidden="1" outlineLevel="2">
      <c r="C550" s="73" t="str">
        <v>SpareOfferB15</v>
      </c>
      <c r="D550" s="97" t="s">
        <v>189</v>
      </c>
      <c r="F550" s="168">
        <f t="shared" si="76"/>
        <v>0</v>
      </c>
      <c r="G550" s="228">
        <v>0</v>
      </c>
    </row>
    <row r="551" spans="3:7" hidden="1" outlineLevel="2">
      <c r="C551" s="73" t="str">
        <v>SpareOfferB16</v>
      </c>
      <c r="D551" s="97" t="s">
        <v>189</v>
      </c>
      <c r="F551" s="168">
        <f t="shared" si="76"/>
        <v>0</v>
      </c>
      <c r="G551" s="228">
        <v>0</v>
      </c>
    </row>
    <row r="552" spans="3:7" hidden="1" outlineLevel="2">
      <c r="C552" s="73" t="str">
        <v>SpareOfferB17</v>
      </c>
      <c r="D552" s="97" t="s">
        <v>189</v>
      </c>
      <c r="F552" s="168">
        <f t="shared" si="76"/>
        <v>0</v>
      </c>
      <c r="G552" s="228">
        <v>0</v>
      </c>
    </row>
    <row r="553" spans="3:7" hidden="1" outlineLevel="2">
      <c r="C553" s="73" t="str">
        <v>SpareOfferB18</v>
      </c>
      <c r="D553" s="97" t="s">
        <v>189</v>
      </c>
      <c r="F553" s="168">
        <f t="shared" si="76"/>
        <v>0</v>
      </c>
      <c r="G553" s="228">
        <v>0</v>
      </c>
    </row>
    <row r="554" spans="3:7" hidden="1" outlineLevel="2">
      <c r="C554" s="73" t="str">
        <v>SpareOfferB19</v>
      </c>
      <c r="D554" s="97" t="s">
        <v>189</v>
      </c>
      <c r="F554" s="168">
        <f t="shared" si="76"/>
        <v>0</v>
      </c>
      <c r="G554" s="228">
        <v>0</v>
      </c>
    </row>
    <row r="555" spans="3:7" hidden="1" outlineLevel="2">
      <c r="C555" s="73" t="str">
        <v>SpareOfferB20</v>
      </c>
      <c r="D555" s="97" t="s">
        <v>189</v>
      </c>
      <c r="F555" s="168">
        <f t="shared" si="76"/>
        <v>0</v>
      </c>
      <c r="G555" s="228">
        <v>0</v>
      </c>
    </row>
    <row r="556" spans="3:7" hidden="1" outlineLevel="2">
      <c r="C556" s="73" t="str">
        <v>SpareOfferB21</v>
      </c>
      <c r="D556" s="97" t="s">
        <v>189</v>
      </c>
      <c r="F556" s="168">
        <f t="shared" si="76"/>
        <v>0</v>
      </c>
      <c r="G556" s="228">
        <v>0</v>
      </c>
    </row>
    <row r="557" spans="3:7" hidden="1" outlineLevel="2">
      <c r="C557" s="73" t="str">
        <v>SpareOfferB22</v>
      </c>
      <c r="D557" s="97" t="s">
        <v>189</v>
      </c>
      <c r="F557" s="168">
        <f t="shared" si="76"/>
        <v>0</v>
      </c>
      <c r="G557" s="228">
        <v>0</v>
      </c>
    </row>
    <row r="558" spans="3:7" hidden="1" outlineLevel="2">
      <c r="C558" s="73" t="str">
        <v>SpareOfferB23</v>
      </c>
      <c r="D558" s="97" t="s">
        <v>189</v>
      </c>
      <c r="F558" s="168">
        <f t="shared" si="76"/>
        <v>0</v>
      </c>
      <c r="G558" s="228">
        <v>0</v>
      </c>
    </row>
    <row r="559" spans="3:7" hidden="1" outlineLevel="2">
      <c r="C559" s="73" t="str">
        <v>SpareOfferB24</v>
      </c>
      <c r="D559" s="97" t="s">
        <v>189</v>
      </c>
      <c r="F559" s="168">
        <f t="shared" si="76"/>
        <v>0</v>
      </c>
      <c r="G559" s="228">
        <v>0</v>
      </c>
    </row>
    <row r="560" spans="3:7" hidden="1" outlineLevel="2">
      <c r="C560" s="73" t="str">
        <v>SpareOfferB25</v>
      </c>
      <c r="D560" s="97" t="s">
        <v>189</v>
      </c>
      <c r="F560" s="168">
        <f t="shared" si="76"/>
        <v>0</v>
      </c>
      <c r="G560" s="228">
        <v>0</v>
      </c>
    </row>
    <row r="561" spans="3:21" hidden="1" outlineLevel="2">
      <c r="C561" s="73" t="str">
        <v>SpareOfferB26</v>
      </c>
      <c r="D561" s="97" t="s">
        <v>189</v>
      </c>
      <c r="F561" s="168">
        <f t="shared" si="76"/>
        <v>0</v>
      </c>
      <c r="G561" s="228">
        <v>0</v>
      </c>
    </row>
    <row r="562" spans="3:21" hidden="1" outlineLevel="2">
      <c r="C562" s="73" t="str">
        <v>SpareOfferB27</v>
      </c>
      <c r="D562" s="97" t="s">
        <v>189</v>
      </c>
      <c r="F562" s="168">
        <f t="shared" si="76"/>
        <v>0</v>
      </c>
      <c r="G562" s="228">
        <v>0</v>
      </c>
    </row>
    <row r="563" spans="3:21" hidden="1" outlineLevel="2">
      <c r="C563" s="73" t="str">
        <v>SpareOfferB28</v>
      </c>
      <c r="D563" s="97" t="s">
        <v>189</v>
      </c>
      <c r="F563" s="168">
        <f t="shared" si="76"/>
        <v>0</v>
      </c>
      <c r="G563" s="228">
        <v>0</v>
      </c>
    </row>
    <row r="564" spans="3:21" hidden="1" outlineLevel="2">
      <c r="C564" s="73" t="str">
        <v>SpareOfferB29</v>
      </c>
      <c r="D564" s="97" t="s">
        <v>189</v>
      </c>
      <c r="F564" s="168">
        <f t="shared" si="76"/>
        <v>0</v>
      </c>
      <c r="G564" s="228">
        <v>0</v>
      </c>
    </row>
    <row r="565" spans="3:21" hidden="1" outlineLevel="2">
      <c r="C565" s="73" t="str">
        <v>SpareOfferB30</v>
      </c>
      <c r="D565" s="97" t="s">
        <v>189</v>
      </c>
      <c r="F565" s="168">
        <f t="shared" si="76"/>
        <v>0</v>
      </c>
      <c r="G565" s="228">
        <v>0</v>
      </c>
    </row>
    <row r="566" spans="3:21" hidden="1" outlineLevel="2">
      <c r="C566" s="73" t="str">
        <v>SpareOfferB31</v>
      </c>
      <c r="D566" s="97" t="s">
        <v>189</v>
      </c>
      <c r="F566" s="168">
        <f t="shared" si="76"/>
        <v>0</v>
      </c>
      <c r="G566" s="228">
        <v>0</v>
      </c>
    </row>
    <row r="567" spans="3:21" hidden="1" outlineLevel="2">
      <c r="C567" s="73" t="str">
        <v>SpareOfferB32</v>
      </c>
      <c r="D567" s="97" t="s">
        <v>189</v>
      </c>
      <c r="F567" s="168">
        <f t="shared" si="76"/>
        <v>0</v>
      </c>
      <c r="G567" s="228">
        <v>0</v>
      </c>
    </row>
    <row r="568" spans="3:21" hidden="1" outlineLevel="2">
      <c r="C568" s="73" t="str">
        <v>SpareOfferB33</v>
      </c>
      <c r="D568" s="97" t="s">
        <v>189</v>
      </c>
      <c r="F568" s="168">
        <f t="shared" si="76"/>
        <v>0</v>
      </c>
      <c r="G568" s="228">
        <v>0</v>
      </c>
    </row>
    <row r="569" spans="3:21" hidden="1" outlineLevel="2">
      <c r="C569" s="73" t="str">
        <v>SpareOfferB34</v>
      </c>
      <c r="D569" s="97" t="s">
        <v>189</v>
      </c>
      <c r="F569" s="168">
        <f t="shared" si="76"/>
        <v>0</v>
      </c>
      <c r="G569" s="228">
        <v>0</v>
      </c>
    </row>
    <row r="570" spans="3:21" outlineLevel="1" collapsed="1">
      <c r="C570" s="73" t="str">
        <v>SpareOfferB35</v>
      </c>
      <c r="D570" s="97" t="s">
        <v>189</v>
      </c>
      <c r="F570" s="168">
        <f t="shared" si="76"/>
        <v>0</v>
      </c>
      <c r="G570" s="228">
        <v>0</v>
      </c>
    </row>
    <row r="571" spans="3:21" outlineLevel="1">
      <c r="F571" s="4"/>
    </row>
    <row r="572" spans="3:21" outlineLevel="1">
      <c r="C572" s="35" t="s">
        <v>513</v>
      </c>
      <c r="F572" s="1" t="s">
        <v>317</v>
      </c>
      <c r="G572" s="165" t="s">
        <v>162</v>
      </c>
      <c r="H572" s="165"/>
      <c r="I572" s="165"/>
      <c r="J572" s="165"/>
      <c r="K572" s="165"/>
      <c r="L572" s="165"/>
      <c r="M572" s="165"/>
      <c r="O572" s="165" t="s">
        <v>164</v>
      </c>
      <c r="P572" s="165"/>
      <c r="Q572" s="165"/>
      <c r="R572" s="66"/>
      <c r="S572" s="66"/>
      <c r="T572" s="66"/>
      <c r="U572" s="66"/>
    </row>
    <row r="573" spans="3:21" ht="26.25" customHeight="1" outlineLevel="1">
      <c r="F573" s="155"/>
      <c r="G573" s="165" t="str">
        <f t="array" ref="G573:M573">TRANSPOSE(voice.destination.plus.in)</f>
        <v>On-net</v>
      </c>
      <c r="H573" s="165" t="str">
        <v>Off-net fixed</v>
      </c>
      <c r="I573" s="165" t="str">
        <v>Off-net mobile</v>
      </c>
      <c r="J573" s="66" t="str">
        <v>International</v>
      </c>
      <c r="K573" s="66" t="str">
        <v>VAS</v>
      </c>
      <c r="L573" s="66" t="str">
        <v>Not used</v>
      </c>
      <c r="M573" s="165" t="str">
        <v>Termination</v>
      </c>
      <c r="O573" s="165" t="str">
        <f t="array" ref="O573:U573">TRANSPOSE(SMS.destination.plus.in)</f>
        <v>On-net</v>
      </c>
      <c r="P573" s="165" t="str">
        <v>Off-net fixed</v>
      </c>
      <c r="Q573" s="165" t="str">
        <v>Off-net mobile</v>
      </c>
      <c r="R573" s="66" t="str">
        <v>International</v>
      </c>
      <c r="S573" s="66" t="str">
        <v>Content messages: BankID</v>
      </c>
      <c r="T573" s="66" t="str">
        <v>Content messages: other</v>
      </c>
      <c r="U573" s="165" t="str">
        <v>Termination</v>
      </c>
    </row>
    <row r="574" spans="3:21" outlineLevel="1">
      <c r="C574" s="91" t="s">
        <v>89</v>
      </c>
      <c r="D574" s="97" t="s">
        <v>189</v>
      </c>
      <c r="F574" s="114">
        <f>SUMPRODUCT(F575:F609,subscription.split.segment.2)</f>
        <v>0</v>
      </c>
      <c r="G574" s="114">
        <f t="shared" ref="G574:M574" si="77">SUMPRODUCT(G575:G609,subscription.split.segment.2)</f>
        <v>0</v>
      </c>
      <c r="H574" s="114">
        <f t="shared" si="77"/>
        <v>0</v>
      </c>
      <c r="I574" s="114">
        <f t="shared" si="77"/>
        <v>0</v>
      </c>
      <c r="J574" s="114">
        <f t="shared" si="77"/>
        <v>0</v>
      </c>
      <c r="K574" s="114">
        <f t="shared" si="77"/>
        <v>0</v>
      </c>
      <c r="L574" s="114">
        <f t="shared" si="77"/>
        <v>0</v>
      </c>
      <c r="M574" s="114">
        <f t="shared" si="77"/>
        <v>0</v>
      </c>
      <c r="O574" s="114">
        <f t="shared" ref="O574:U574" si="78">SUMPRODUCT(O575:O609,subscription.split.segment.2)</f>
        <v>0</v>
      </c>
      <c r="P574" s="114">
        <f t="shared" si="78"/>
        <v>0</v>
      </c>
      <c r="Q574" s="114">
        <f t="shared" si="78"/>
        <v>0</v>
      </c>
      <c r="R574" s="114">
        <f t="shared" si="78"/>
        <v>0</v>
      </c>
      <c r="S574" s="114">
        <f t="shared" si="78"/>
        <v>0</v>
      </c>
      <c r="T574" s="114">
        <f t="shared" si="78"/>
        <v>0</v>
      </c>
      <c r="U574" s="114">
        <f t="shared" si="78"/>
        <v>0</v>
      </c>
    </row>
    <row r="575" spans="3:21" outlineLevel="1">
      <c r="C575" s="73" t="str">
        <f t="array" ref="C575:C609">offers.segment.2</f>
        <v>SpareOfferB1</v>
      </c>
      <c r="D575" s="97" t="s">
        <v>189</v>
      </c>
      <c r="F575" s="148">
        <f>SUM(G575:M575)+SUM(O575:U575)</f>
        <v>0</v>
      </c>
      <c r="G575" s="102">
        <f t="shared" ref="G575:G609" si="79">(G$26+$M$26)*G419</f>
        <v>0</v>
      </c>
      <c r="H575" s="167">
        <f t="shared" ref="H575:M584" si="80">H$26*H419</f>
        <v>0</v>
      </c>
      <c r="I575" s="167">
        <f t="shared" si="80"/>
        <v>0</v>
      </c>
      <c r="J575" s="167">
        <f t="shared" si="80"/>
        <v>0</v>
      </c>
      <c r="K575" s="167">
        <f t="shared" si="80"/>
        <v>0</v>
      </c>
      <c r="L575" s="167">
        <f t="shared" si="80"/>
        <v>0</v>
      </c>
      <c r="M575" s="167">
        <f t="shared" si="80"/>
        <v>0</v>
      </c>
      <c r="O575" s="102">
        <f t="shared" ref="O575:O609" si="81">(O$26+$U$26)*O419</f>
        <v>0</v>
      </c>
      <c r="P575" s="167">
        <f t="shared" ref="P575:U584" si="82">P$26*P419</f>
        <v>0</v>
      </c>
      <c r="Q575" s="167">
        <f t="shared" si="82"/>
        <v>0</v>
      </c>
      <c r="R575" s="167">
        <f t="shared" si="82"/>
        <v>0</v>
      </c>
      <c r="S575" s="167">
        <f t="shared" si="82"/>
        <v>0</v>
      </c>
      <c r="T575" s="167">
        <f t="shared" si="82"/>
        <v>0</v>
      </c>
      <c r="U575" s="167">
        <f t="shared" si="82"/>
        <v>0</v>
      </c>
    </row>
    <row r="576" spans="3:21" hidden="1" outlineLevel="2">
      <c r="C576" s="73" t="str">
        <v>SpareOfferB2</v>
      </c>
      <c r="D576" s="97" t="s">
        <v>189</v>
      </c>
      <c r="F576" s="148">
        <f t="shared" ref="F576:F609" si="83">SUM(G576:M576)+SUM(O576:U576)</f>
        <v>0</v>
      </c>
      <c r="G576" s="102">
        <f t="shared" si="79"/>
        <v>0</v>
      </c>
      <c r="H576" s="167">
        <f t="shared" si="80"/>
        <v>0</v>
      </c>
      <c r="I576" s="167">
        <f t="shared" si="80"/>
        <v>0</v>
      </c>
      <c r="J576" s="167">
        <f t="shared" si="80"/>
        <v>0</v>
      </c>
      <c r="K576" s="167">
        <f t="shared" si="80"/>
        <v>0</v>
      </c>
      <c r="L576" s="167">
        <f t="shared" si="80"/>
        <v>0</v>
      </c>
      <c r="M576" s="167">
        <f t="shared" si="80"/>
        <v>0</v>
      </c>
      <c r="O576" s="102">
        <f t="shared" si="81"/>
        <v>0</v>
      </c>
      <c r="P576" s="167">
        <f t="shared" si="82"/>
        <v>0</v>
      </c>
      <c r="Q576" s="167">
        <f t="shared" si="82"/>
        <v>0</v>
      </c>
      <c r="R576" s="167">
        <f t="shared" si="82"/>
        <v>0</v>
      </c>
      <c r="S576" s="167">
        <f t="shared" si="82"/>
        <v>0</v>
      </c>
      <c r="T576" s="167">
        <f t="shared" si="82"/>
        <v>0</v>
      </c>
      <c r="U576" s="167">
        <f t="shared" si="82"/>
        <v>0</v>
      </c>
    </row>
    <row r="577" spans="3:21" hidden="1" outlineLevel="2">
      <c r="C577" s="73" t="str">
        <v>SpareOfferB3</v>
      </c>
      <c r="D577" s="97" t="s">
        <v>189</v>
      </c>
      <c r="F577" s="148">
        <f t="shared" si="83"/>
        <v>0</v>
      </c>
      <c r="G577" s="102">
        <f t="shared" si="79"/>
        <v>0</v>
      </c>
      <c r="H577" s="167">
        <f t="shared" si="80"/>
        <v>0</v>
      </c>
      <c r="I577" s="167">
        <f t="shared" si="80"/>
        <v>0</v>
      </c>
      <c r="J577" s="167">
        <f t="shared" si="80"/>
        <v>0</v>
      </c>
      <c r="K577" s="167">
        <f t="shared" si="80"/>
        <v>0</v>
      </c>
      <c r="L577" s="167">
        <f t="shared" si="80"/>
        <v>0</v>
      </c>
      <c r="M577" s="167">
        <f t="shared" si="80"/>
        <v>0</v>
      </c>
      <c r="O577" s="102">
        <f t="shared" si="81"/>
        <v>0</v>
      </c>
      <c r="P577" s="167">
        <f t="shared" si="82"/>
        <v>0</v>
      </c>
      <c r="Q577" s="167">
        <f t="shared" si="82"/>
        <v>0</v>
      </c>
      <c r="R577" s="167">
        <f t="shared" si="82"/>
        <v>0</v>
      </c>
      <c r="S577" s="167">
        <f t="shared" si="82"/>
        <v>0</v>
      </c>
      <c r="T577" s="167">
        <f t="shared" si="82"/>
        <v>0</v>
      </c>
      <c r="U577" s="167">
        <f t="shared" si="82"/>
        <v>0</v>
      </c>
    </row>
    <row r="578" spans="3:21" hidden="1" outlineLevel="2">
      <c r="C578" s="73" t="str">
        <v>SpareOfferB4</v>
      </c>
      <c r="D578" s="97" t="s">
        <v>189</v>
      </c>
      <c r="F578" s="148">
        <f t="shared" si="83"/>
        <v>0</v>
      </c>
      <c r="G578" s="102">
        <f t="shared" si="79"/>
        <v>0</v>
      </c>
      <c r="H578" s="167">
        <f t="shared" si="80"/>
        <v>0</v>
      </c>
      <c r="I578" s="167">
        <f t="shared" si="80"/>
        <v>0</v>
      </c>
      <c r="J578" s="167">
        <f t="shared" si="80"/>
        <v>0</v>
      </c>
      <c r="K578" s="167">
        <f t="shared" si="80"/>
        <v>0</v>
      </c>
      <c r="L578" s="167">
        <f t="shared" si="80"/>
        <v>0</v>
      </c>
      <c r="M578" s="167">
        <f t="shared" si="80"/>
        <v>0</v>
      </c>
      <c r="O578" s="102">
        <f t="shared" si="81"/>
        <v>0</v>
      </c>
      <c r="P578" s="167">
        <f t="shared" si="82"/>
        <v>0</v>
      </c>
      <c r="Q578" s="167">
        <f t="shared" si="82"/>
        <v>0</v>
      </c>
      <c r="R578" s="167">
        <f t="shared" si="82"/>
        <v>0</v>
      </c>
      <c r="S578" s="167">
        <f t="shared" si="82"/>
        <v>0</v>
      </c>
      <c r="T578" s="167">
        <f t="shared" si="82"/>
        <v>0</v>
      </c>
      <c r="U578" s="167">
        <f t="shared" si="82"/>
        <v>0</v>
      </c>
    </row>
    <row r="579" spans="3:21" hidden="1" outlineLevel="2">
      <c r="C579" s="73" t="str">
        <v>SpareOfferB5</v>
      </c>
      <c r="D579" s="97" t="s">
        <v>189</v>
      </c>
      <c r="F579" s="148">
        <f t="shared" si="83"/>
        <v>0</v>
      </c>
      <c r="G579" s="102">
        <f t="shared" si="79"/>
        <v>0</v>
      </c>
      <c r="H579" s="167">
        <f t="shared" si="80"/>
        <v>0</v>
      </c>
      <c r="I579" s="167">
        <f t="shared" si="80"/>
        <v>0</v>
      </c>
      <c r="J579" s="167">
        <f t="shared" si="80"/>
        <v>0</v>
      </c>
      <c r="K579" s="167">
        <f t="shared" si="80"/>
        <v>0</v>
      </c>
      <c r="L579" s="167">
        <f t="shared" si="80"/>
        <v>0</v>
      </c>
      <c r="M579" s="167">
        <f t="shared" si="80"/>
        <v>0</v>
      </c>
      <c r="O579" s="102">
        <f t="shared" si="81"/>
        <v>0</v>
      </c>
      <c r="P579" s="167">
        <f t="shared" si="82"/>
        <v>0</v>
      </c>
      <c r="Q579" s="167">
        <f t="shared" si="82"/>
        <v>0</v>
      </c>
      <c r="R579" s="167">
        <f t="shared" si="82"/>
        <v>0</v>
      </c>
      <c r="S579" s="167">
        <f t="shared" si="82"/>
        <v>0</v>
      </c>
      <c r="T579" s="167">
        <f t="shared" si="82"/>
        <v>0</v>
      </c>
      <c r="U579" s="167">
        <f t="shared" si="82"/>
        <v>0</v>
      </c>
    </row>
    <row r="580" spans="3:21" hidden="1" outlineLevel="2">
      <c r="C580" s="73" t="str">
        <v>SpareOfferB6</v>
      </c>
      <c r="D580" s="97" t="s">
        <v>189</v>
      </c>
      <c r="F580" s="148">
        <f t="shared" si="83"/>
        <v>0</v>
      </c>
      <c r="G580" s="102">
        <f t="shared" si="79"/>
        <v>0</v>
      </c>
      <c r="H580" s="167">
        <f t="shared" si="80"/>
        <v>0</v>
      </c>
      <c r="I580" s="167">
        <f t="shared" si="80"/>
        <v>0</v>
      </c>
      <c r="J580" s="167">
        <f t="shared" si="80"/>
        <v>0</v>
      </c>
      <c r="K580" s="167">
        <f t="shared" si="80"/>
        <v>0</v>
      </c>
      <c r="L580" s="167">
        <f t="shared" si="80"/>
        <v>0</v>
      </c>
      <c r="M580" s="167">
        <f t="shared" si="80"/>
        <v>0</v>
      </c>
      <c r="O580" s="102">
        <f t="shared" si="81"/>
        <v>0</v>
      </c>
      <c r="P580" s="167">
        <f t="shared" si="82"/>
        <v>0</v>
      </c>
      <c r="Q580" s="167">
        <f t="shared" si="82"/>
        <v>0</v>
      </c>
      <c r="R580" s="167">
        <f t="shared" si="82"/>
        <v>0</v>
      </c>
      <c r="S580" s="167">
        <f t="shared" si="82"/>
        <v>0</v>
      </c>
      <c r="T580" s="167">
        <f t="shared" si="82"/>
        <v>0</v>
      </c>
      <c r="U580" s="167">
        <f t="shared" si="82"/>
        <v>0</v>
      </c>
    </row>
    <row r="581" spans="3:21" hidden="1" outlineLevel="2">
      <c r="C581" s="73" t="str">
        <v>SpareOfferB7</v>
      </c>
      <c r="D581" s="97" t="s">
        <v>189</v>
      </c>
      <c r="F581" s="148">
        <f t="shared" si="83"/>
        <v>0</v>
      </c>
      <c r="G581" s="102">
        <f t="shared" si="79"/>
        <v>0</v>
      </c>
      <c r="H581" s="167">
        <f t="shared" si="80"/>
        <v>0</v>
      </c>
      <c r="I581" s="167">
        <f t="shared" si="80"/>
        <v>0</v>
      </c>
      <c r="J581" s="167">
        <f t="shared" si="80"/>
        <v>0</v>
      </c>
      <c r="K581" s="167">
        <f t="shared" si="80"/>
        <v>0</v>
      </c>
      <c r="L581" s="167">
        <f t="shared" si="80"/>
        <v>0</v>
      </c>
      <c r="M581" s="167">
        <f t="shared" si="80"/>
        <v>0</v>
      </c>
      <c r="O581" s="102">
        <f t="shared" si="81"/>
        <v>0</v>
      </c>
      <c r="P581" s="167">
        <f t="shared" si="82"/>
        <v>0</v>
      </c>
      <c r="Q581" s="167">
        <f t="shared" si="82"/>
        <v>0</v>
      </c>
      <c r="R581" s="167">
        <f t="shared" si="82"/>
        <v>0</v>
      </c>
      <c r="S581" s="167">
        <f t="shared" si="82"/>
        <v>0</v>
      </c>
      <c r="T581" s="167">
        <f t="shared" si="82"/>
        <v>0</v>
      </c>
      <c r="U581" s="167">
        <f t="shared" si="82"/>
        <v>0</v>
      </c>
    </row>
    <row r="582" spans="3:21" hidden="1" outlineLevel="2">
      <c r="C582" s="73" t="str">
        <v>SpareOfferB8</v>
      </c>
      <c r="D582" s="97" t="s">
        <v>189</v>
      </c>
      <c r="F582" s="148">
        <f t="shared" si="83"/>
        <v>0</v>
      </c>
      <c r="G582" s="102">
        <f t="shared" si="79"/>
        <v>0</v>
      </c>
      <c r="H582" s="167">
        <f t="shared" si="80"/>
        <v>0</v>
      </c>
      <c r="I582" s="167">
        <f t="shared" si="80"/>
        <v>0</v>
      </c>
      <c r="J582" s="167">
        <f t="shared" si="80"/>
        <v>0</v>
      </c>
      <c r="K582" s="167">
        <f t="shared" si="80"/>
        <v>0</v>
      </c>
      <c r="L582" s="167">
        <f t="shared" si="80"/>
        <v>0</v>
      </c>
      <c r="M582" s="167">
        <f t="shared" si="80"/>
        <v>0</v>
      </c>
      <c r="O582" s="102">
        <f t="shared" si="81"/>
        <v>0</v>
      </c>
      <c r="P582" s="167">
        <f t="shared" si="82"/>
        <v>0</v>
      </c>
      <c r="Q582" s="167">
        <f t="shared" si="82"/>
        <v>0</v>
      </c>
      <c r="R582" s="167">
        <f t="shared" si="82"/>
        <v>0</v>
      </c>
      <c r="S582" s="167">
        <f t="shared" si="82"/>
        <v>0</v>
      </c>
      <c r="T582" s="167">
        <f t="shared" si="82"/>
        <v>0</v>
      </c>
      <c r="U582" s="167">
        <f t="shared" si="82"/>
        <v>0</v>
      </c>
    </row>
    <row r="583" spans="3:21" hidden="1" outlineLevel="2">
      <c r="C583" s="73" t="str">
        <v>SpareOfferB9</v>
      </c>
      <c r="D583" s="97" t="s">
        <v>189</v>
      </c>
      <c r="F583" s="148">
        <f t="shared" si="83"/>
        <v>0</v>
      </c>
      <c r="G583" s="102">
        <f t="shared" si="79"/>
        <v>0</v>
      </c>
      <c r="H583" s="167">
        <f t="shared" si="80"/>
        <v>0</v>
      </c>
      <c r="I583" s="167">
        <f t="shared" si="80"/>
        <v>0</v>
      </c>
      <c r="J583" s="167">
        <f t="shared" si="80"/>
        <v>0</v>
      </c>
      <c r="K583" s="167">
        <f t="shared" si="80"/>
        <v>0</v>
      </c>
      <c r="L583" s="167">
        <f t="shared" si="80"/>
        <v>0</v>
      </c>
      <c r="M583" s="167">
        <f t="shared" si="80"/>
        <v>0</v>
      </c>
      <c r="O583" s="102">
        <f t="shared" si="81"/>
        <v>0</v>
      </c>
      <c r="P583" s="167">
        <f t="shared" si="82"/>
        <v>0</v>
      </c>
      <c r="Q583" s="167">
        <f t="shared" si="82"/>
        <v>0</v>
      </c>
      <c r="R583" s="167">
        <f t="shared" si="82"/>
        <v>0</v>
      </c>
      <c r="S583" s="167">
        <f t="shared" si="82"/>
        <v>0</v>
      </c>
      <c r="T583" s="167">
        <f t="shared" si="82"/>
        <v>0</v>
      </c>
      <c r="U583" s="167">
        <f t="shared" si="82"/>
        <v>0</v>
      </c>
    </row>
    <row r="584" spans="3:21" hidden="1" outlineLevel="2">
      <c r="C584" s="73" t="str">
        <v>SpareOfferB10</v>
      </c>
      <c r="D584" s="97" t="s">
        <v>189</v>
      </c>
      <c r="F584" s="148">
        <f t="shared" si="83"/>
        <v>0</v>
      </c>
      <c r="G584" s="102">
        <f t="shared" si="79"/>
        <v>0</v>
      </c>
      <c r="H584" s="167">
        <f t="shared" si="80"/>
        <v>0</v>
      </c>
      <c r="I584" s="167">
        <f t="shared" si="80"/>
        <v>0</v>
      </c>
      <c r="J584" s="167">
        <f t="shared" si="80"/>
        <v>0</v>
      </c>
      <c r="K584" s="167">
        <f t="shared" si="80"/>
        <v>0</v>
      </c>
      <c r="L584" s="167">
        <f t="shared" si="80"/>
        <v>0</v>
      </c>
      <c r="M584" s="167">
        <f t="shared" si="80"/>
        <v>0</v>
      </c>
      <c r="O584" s="102">
        <f t="shared" si="81"/>
        <v>0</v>
      </c>
      <c r="P584" s="167">
        <f t="shared" si="82"/>
        <v>0</v>
      </c>
      <c r="Q584" s="167">
        <f t="shared" si="82"/>
        <v>0</v>
      </c>
      <c r="R584" s="167">
        <f t="shared" si="82"/>
        <v>0</v>
      </c>
      <c r="S584" s="167">
        <f t="shared" si="82"/>
        <v>0</v>
      </c>
      <c r="T584" s="167">
        <f t="shared" si="82"/>
        <v>0</v>
      </c>
      <c r="U584" s="167">
        <f t="shared" si="82"/>
        <v>0</v>
      </c>
    </row>
    <row r="585" spans="3:21" hidden="1" outlineLevel="2">
      <c r="C585" s="73" t="str">
        <v>SpareOfferB11</v>
      </c>
      <c r="D585" s="97" t="s">
        <v>189</v>
      </c>
      <c r="F585" s="148">
        <f t="shared" si="83"/>
        <v>0</v>
      </c>
      <c r="G585" s="102">
        <f t="shared" si="79"/>
        <v>0</v>
      </c>
      <c r="H585" s="167">
        <f t="shared" ref="H585:M594" si="84">H$26*H429</f>
        <v>0</v>
      </c>
      <c r="I585" s="167">
        <f t="shared" si="84"/>
        <v>0</v>
      </c>
      <c r="J585" s="167">
        <f t="shared" si="84"/>
        <v>0</v>
      </c>
      <c r="K585" s="167">
        <f t="shared" si="84"/>
        <v>0</v>
      </c>
      <c r="L585" s="167">
        <f t="shared" si="84"/>
        <v>0</v>
      </c>
      <c r="M585" s="167">
        <f t="shared" si="84"/>
        <v>0</v>
      </c>
      <c r="O585" s="102">
        <f t="shared" si="81"/>
        <v>0</v>
      </c>
      <c r="P585" s="167">
        <f t="shared" ref="P585:U594" si="85">P$26*P429</f>
        <v>0</v>
      </c>
      <c r="Q585" s="167">
        <f t="shared" si="85"/>
        <v>0</v>
      </c>
      <c r="R585" s="167">
        <f t="shared" si="85"/>
        <v>0</v>
      </c>
      <c r="S585" s="167">
        <f t="shared" si="85"/>
        <v>0</v>
      </c>
      <c r="T585" s="167">
        <f t="shared" si="85"/>
        <v>0</v>
      </c>
      <c r="U585" s="167">
        <f t="shared" si="85"/>
        <v>0</v>
      </c>
    </row>
    <row r="586" spans="3:21" hidden="1" outlineLevel="2">
      <c r="C586" s="73" t="str">
        <v>SpareOfferB12</v>
      </c>
      <c r="D586" s="97" t="s">
        <v>189</v>
      </c>
      <c r="F586" s="148">
        <f t="shared" si="83"/>
        <v>0</v>
      </c>
      <c r="G586" s="102">
        <f t="shared" si="79"/>
        <v>0</v>
      </c>
      <c r="H586" s="167">
        <f t="shared" si="84"/>
        <v>0</v>
      </c>
      <c r="I586" s="167">
        <f t="shared" si="84"/>
        <v>0</v>
      </c>
      <c r="J586" s="167">
        <f t="shared" si="84"/>
        <v>0</v>
      </c>
      <c r="K586" s="167">
        <f t="shared" si="84"/>
        <v>0</v>
      </c>
      <c r="L586" s="167">
        <f t="shared" si="84"/>
        <v>0</v>
      </c>
      <c r="M586" s="167">
        <f t="shared" si="84"/>
        <v>0</v>
      </c>
      <c r="O586" s="102">
        <f t="shared" si="81"/>
        <v>0</v>
      </c>
      <c r="P586" s="167">
        <f t="shared" si="85"/>
        <v>0</v>
      </c>
      <c r="Q586" s="167">
        <f t="shared" si="85"/>
        <v>0</v>
      </c>
      <c r="R586" s="167">
        <f t="shared" si="85"/>
        <v>0</v>
      </c>
      <c r="S586" s="167">
        <f t="shared" si="85"/>
        <v>0</v>
      </c>
      <c r="T586" s="167">
        <f t="shared" si="85"/>
        <v>0</v>
      </c>
      <c r="U586" s="167">
        <f t="shared" si="85"/>
        <v>0</v>
      </c>
    </row>
    <row r="587" spans="3:21" hidden="1" outlineLevel="2">
      <c r="C587" s="73" t="str">
        <v>SpareOfferB13</v>
      </c>
      <c r="D587" s="97" t="s">
        <v>189</v>
      </c>
      <c r="F587" s="148">
        <f t="shared" si="83"/>
        <v>0</v>
      </c>
      <c r="G587" s="102">
        <f t="shared" si="79"/>
        <v>0</v>
      </c>
      <c r="H587" s="167">
        <f t="shared" si="84"/>
        <v>0</v>
      </c>
      <c r="I587" s="167">
        <f t="shared" si="84"/>
        <v>0</v>
      </c>
      <c r="J587" s="167">
        <f t="shared" si="84"/>
        <v>0</v>
      </c>
      <c r="K587" s="167">
        <f t="shared" si="84"/>
        <v>0</v>
      </c>
      <c r="L587" s="167">
        <f t="shared" si="84"/>
        <v>0</v>
      </c>
      <c r="M587" s="167">
        <f t="shared" si="84"/>
        <v>0</v>
      </c>
      <c r="O587" s="102">
        <f t="shared" si="81"/>
        <v>0</v>
      </c>
      <c r="P587" s="167">
        <f t="shared" si="85"/>
        <v>0</v>
      </c>
      <c r="Q587" s="167">
        <f t="shared" si="85"/>
        <v>0</v>
      </c>
      <c r="R587" s="167">
        <f t="shared" si="85"/>
        <v>0</v>
      </c>
      <c r="S587" s="167">
        <f t="shared" si="85"/>
        <v>0</v>
      </c>
      <c r="T587" s="167">
        <f t="shared" si="85"/>
        <v>0</v>
      </c>
      <c r="U587" s="167">
        <f t="shared" si="85"/>
        <v>0</v>
      </c>
    </row>
    <row r="588" spans="3:21" hidden="1" outlineLevel="2">
      <c r="C588" s="73" t="str">
        <v>SpareOfferB14</v>
      </c>
      <c r="D588" s="97" t="s">
        <v>189</v>
      </c>
      <c r="F588" s="148">
        <f t="shared" si="83"/>
        <v>0</v>
      </c>
      <c r="G588" s="102">
        <f t="shared" si="79"/>
        <v>0</v>
      </c>
      <c r="H588" s="167">
        <f t="shared" si="84"/>
        <v>0</v>
      </c>
      <c r="I588" s="167">
        <f t="shared" si="84"/>
        <v>0</v>
      </c>
      <c r="J588" s="167">
        <f t="shared" si="84"/>
        <v>0</v>
      </c>
      <c r="K588" s="167">
        <f t="shared" si="84"/>
        <v>0</v>
      </c>
      <c r="L588" s="167">
        <f t="shared" si="84"/>
        <v>0</v>
      </c>
      <c r="M588" s="167">
        <f t="shared" si="84"/>
        <v>0</v>
      </c>
      <c r="O588" s="102">
        <f t="shared" si="81"/>
        <v>0</v>
      </c>
      <c r="P588" s="167">
        <f t="shared" si="85"/>
        <v>0</v>
      </c>
      <c r="Q588" s="167">
        <f t="shared" si="85"/>
        <v>0</v>
      </c>
      <c r="R588" s="167">
        <f t="shared" si="85"/>
        <v>0</v>
      </c>
      <c r="S588" s="167">
        <f t="shared" si="85"/>
        <v>0</v>
      </c>
      <c r="T588" s="167">
        <f t="shared" si="85"/>
        <v>0</v>
      </c>
      <c r="U588" s="167">
        <f t="shared" si="85"/>
        <v>0</v>
      </c>
    </row>
    <row r="589" spans="3:21" hidden="1" outlineLevel="2">
      <c r="C589" s="73" t="str">
        <v>SpareOfferB15</v>
      </c>
      <c r="D589" s="97" t="s">
        <v>189</v>
      </c>
      <c r="F589" s="148">
        <f t="shared" si="83"/>
        <v>0</v>
      </c>
      <c r="G589" s="102">
        <f t="shared" si="79"/>
        <v>0</v>
      </c>
      <c r="H589" s="167">
        <f t="shared" si="84"/>
        <v>0</v>
      </c>
      <c r="I589" s="167">
        <f t="shared" si="84"/>
        <v>0</v>
      </c>
      <c r="J589" s="167">
        <f t="shared" si="84"/>
        <v>0</v>
      </c>
      <c r="K589" s="167">
        <f t="shared" si="84"/>
        <v>0</v>
      </c>
      <c r="L589" s="167">
        <f t="shared" si="84"/>
        <v>0</v>
      </c>
      <c r="M589" s="167">
        <f t="shared" si="84"/>
        <v>0</v>
      </c>
      <c r="O589" s="102">
        <f t="shared" si="81"/>
        <v>0</v>
      </c>
      <c r="P589" s="167">
        <f t="shared" si="85"/>
        <v>0</v>
      </c>
      <c r="Q589" s="167">
        <f t="shared" si="85"/>
        <v>0</v>
      </c>
      <c r="R589" s="167">
        <f t="shared" si="85"/>
        <v>0</v>
      </c>
      <c r="S589" s="167">
        <f t="shared" si="85"/>
        <v>0</v>
      </c>
      <c r="T589" s="167">
        <f t="shared" si="85"/>
        <v>0</v>
      </c>
      <c r="U589" s="167">
        <f t="shared" si="85"/>
        <v>0</v>
      </c>
    </row>
    <row r="590" spans="3:21" hidden="1" outlineLevel="2">
      <c r="C590" s="73" t="str">
        <v>SpareOfferB16</v>
      </c>
      <c r="D590" s="97" t="s">
        <v>189</v>
      </c>
      <c r="F590" s="148">
        <f t="shared" si="83"/>
        <v>0</v>
      </c>
      <c r="G590" s="102">
        <f t="shared" si="79"/>
        <v>0</v>
      </c>
      <c r="H590" s="167">
        <f t="shared" si="84"/>
        <v>0</v>
      </c>
      <c r="I590" s="167">
        <f t="shared" si="84"/>
        <v>0</v>
      </c>
      <c r="J590" s="167">
        <f t="shared" si="84"/>
        <v>0</v>
      </c>
      <c r="K590" s="167">
        <f t="shared" si="84"/>
        <v>0</v>
      </c>
      <c r="L590" s="167">
        <f t="shared" si="84"/>
        <v>0</v>
      </c>
      <c r="M590" s="167">
        <f t="shared" si="84"/>
        <v>0</v>
      </c>
      <c r="O590" s="102">
        <f t="shared" si="81"/>
        <v>0</v>
      </c>
      <c r="P590" s="167">
        <f t="shared" si="85"/>
        <v>0</v>
      </c>
      <c r="Q590" s="167">
        <f t="shared" si="85"/>
        <v>0</v>
      </c>
      <c r="R590" s="167">
        <f t="shared" si="85"/>
        <v>0</v>
      </c>
      <c r="S590" s="167">
        <f t="shared" si="85"/>
        <v>0</v>
      </c>
      <c r="T590" s="167">
        <f t="shared" si="85"/>
        <v>0</v>
      </c>
      <c r="U590" s="167">
        <f t="shared" si="85"/>
        <v>0</v>
      </c>
    </row>
    <row r="591" spans="3:21" hidden="1" outlineLevel="2">
      <c r="C591" s="73" t="str">
        <v>SpareOfferB17</v>
      </c>
      <c r="D591" s="97" t="s">
        <v>189</v>
      </c>
      <c r="F591" s="148">
        <f t="shared" si="83"/>
        <v>0</v>
      </c>
      <c r="G591" s="102">
        <f t="shared" si="79"/>
        <v>0</v>
      </c>
      <c r="H591" s="167">
        <f t="shared" si="84"/>
        <v>0</v>
      </c>
      <c r="I591" s="167">
        <f t="shared" si="84"/>
        <v>0</v>
      </c>
      <c r="J591" s="167">
        <f t="shared" si="84"/>
        <v>0</v>
      </c>
      <c r="K591" s="167">
        <f t="shared" si="84"/>
        <v>0</v>
      </c>
      <c r="L591" s="167">
        <f t="shared" si="84"/>
        <v>0</v>
      </c>
      <c r="M591" s="167">
        <f t="shared" si="84"/>
        <v>0</v>
      </c>
      <c r="O591" s="102">
        <f t="shared" si="81"/>
        <v>0</v>
      </c>
      <c r="P591" s="167">
        <f t="shared" si="85"/>
        <v>0</v>
      </c>
      <c r="Q591" s="167">
        <f t="shared" si="85"/>
        <v>0</v>
      </c>
      <c r="R591" s="167">
        <f t="shared" si="85"/>
        <v>0</v>
      </c>
      <c r="S591" s="167">
        <f t="shared" si="85"/>
        <v>0</v>
      </c>
      <c r="T591" s="167">
        <f t="shared" si="85"/>
        <v>0</v>
      </c>
      <c r="U591" s="167">
        <f t="shared" si="85"/>
        <v>0</v>
      </c>
    </row>
    <row r="592" spans="3:21" hidden="1" outlineLevel="2">
      <c r="C592" s="73" t="str">
        <v>SpareOfferB18</v>
      </c>
      <c r="D592" s="97" t="s">
        <v>189</v>
      </c>
      <c r="F592" s="148">
        <f t="shared" si="83"/>
        <v>0</v>
      </c>
      <c r="G592" s="102">
        <f t="shared" si="79"/>
        <v>0</v>
      </c>
      <c r="H592" s="167">
        <f t="shared" si="84"/>
        <v>0</v>
      </c>
      <c r="I592" s="167">
        <f t="shared" si="84"/>
        <v>0</v>
      </c>
      <c r="J592" s="167">
        <f t="shared" si="84"/>
        <v>0</v>
      </c>
      <c r="K592" s="167">
        <f t="shared" si="84"/>
        <v>0</v>
      </c>
      <c r="L592" s="167">
        <f t="shared" si="84"/>
        <v>0</v>
      </c>
      <c r="M592" s="167">
        <f t="shared" si="84"/>
        <v>0</v>
      </c>
      <c r="O592" s="102">
        <f t="shared" si="81"/>
        <v>0</v>
      </c>
      <c r="P592" s="167">
        <f t="shared" si="85"/>
        <v>0</v>
      </c>
      <c r="Q592" s="167">
        <f t="shared" si="85"/>
        <v>0</v>
      </c>
      <c r="R592" s="167">
        <f t="shared" si="85"/>
        <v>0</v>
      </c>
      <c r="S592" s="167">
        <f t="shared" si="85"/>
        <v>0</v>
      </c>
      <c r="T592" s="167">
        <f t="shared" si="85"/>
        <v>0</v>
      </c>
      <c r="U592" s="167">
        <f t="shared" si="85"/>
        <v>0</v>
      </c>
    </row>
    <row r="593" spans="3:21" hidden="1" outlineLevel="2">
      <c r="C593" s="73" t="str">
        <v>SpareOfferB19</v>
      </c>
      <c r="D593" s="97" t="s">
        <v>189</v>
      </c>
      <c r="F593" s="148">
        <f t="shared" si="83"/>
        <v>0</v>
      </c>
      <c r="G593" s="102">
        <f t="shared" si="79"/>
        <v>0</v>
      </c>
      <c r="H593" s="167">
        <f t="shared" si="84"/>
        <v>0</v>
      </c>
      <c r="I593" s="167">
        <f t="shared" si="84"/>
        <v>0</v>
      </c>
      <c r="J593" s="167">
        <f t="shared" si="84"/>
        <v>0</v>
      </c>
      <c r="K593" s="167">
        <f t="shared" si="84"/>
        <v>0</v>
      </c>
      <c r="L593" s="167">
        <f t="shared" si="84"/>
        <v>0</v>
      </c>
      <c r="M593" s="167">
        <f t="shared" si="84"/>
        <v>0</v>
      </c>
      <c r="O593" s="102">
        <f t="shared" si="81"/>
        <v>0</v>
      </c>
      <c r="P593" s="167">
        <f t="shared" si="85"/>
        <v>0</v>
      </c>
      <c r="Q593" s="167">
        <f t="shared" si="85"/>
        <v>0</v>
      </c>
      <c r="R593" s="167">
        <f t="shared" si="85"/>
        <v>0</v>
      </c>
      <c r="S593" s="167">
        <f t="shared" si="85"/>
        <v>0</v>
      </c>
      <c r="T593" s="167">
        <f t="shared" si="85"/>
        <v>0</v>
      </c>
      <c r="U593" s="167">
        <f t="shared" si="85"/>
        <v>0</v>
      </c>
    </row>
    <row r="594" spans="3:21" hidden="1" outlineLevel="2">
      <c r="C594" s="73" t="str">
        <v>SpareOfferB20</v>
      </c>
      <c r="D594" s="97" t="s">
        <v>189</v>
      </c>
      <c r="F594" s="148">
        <f t="shared" si="83"/>
        <v>0</v>
      </c>
      <c r="G594" s="102">
        <f t="shared" si="79"/>
        <v>0</v>
      </c>
      <c r="H594" s="167">
        <f t="shared" si="84"/>
        <v>0</v>
      </c>
      <c r="I594" s="167">
        <f t="shared" si="84"/>
        <v>0</v>
      </c>
      <c r="J594" s="167">
        <f t="shared" si="84"/>
        <v>0</v>
      </c>
      <c r="K594" s="167">
        <f t="shared" si="84"/>
        <v>0</v>
      </c>
      <c r="L594" s="167">
        <f t="shared" si="84"/>
        <v>0</v>
      </c>
      <c r="M594" s="167">
        <f t="shared" si="84"/>
        <v>0</v>
      </c>
      <c r="O594" s="102">
        <f t="shared" si="81"/>
        <v>0</v>
      </c>
      <c r="P594" s="167">
        <f t="shared" si="85"/>
        <v>0</v>
      </c>
      <c r="Q594" s="167">
        <f t="shared" si="85"/>
        <v>0</v>
      </c>
      <c r="R594" s="167">
        <f t="shared" si="85"/>
        <v>0</v>
      </c>
      <c r="S594" s="167">
        <f t="shared" si="85"/>
        <v>0</v>
      </c>
      <c r="T594" s="167">
        <f t="shared" si="85"/>
        <v>0</v>
      </c>
      <c r="U594" s="167">
        <f t="shared" si="85"/>
        <v>0</v>
      </c>
    </row>
    <row r="595" spans="3:21" hidden="1" outlineLevel="2">
      <c r="C595" s="73" t="str">
        <v>SpareOfferB21</v>
      </c>
      <c r="D595" s="97" t="s">
        <v>189</v>
      </c>
      <c r="F595" s="148">
        <f t="shared" si="83"/>
        <v>0</v>
      </c>
      <c r="G595" s="102">
        <f t="shared" si="79"/>
        <v>0</v>
      </c>
      <c r="H595" s="167">
        <f t="shared" ref="H595:M604" si="86">H$26*H439</f>
        <v>0</v>
      </c>
      <c r="I595" s="167">
        <f t="shared" si="86"/>
        <v>0</v>
      </c>
      <c r="J595" s="167">
        <f t="shared" si="86"/>
        <v>0</v>
      </c>
      <c r="K595" s="167">
        <f t="shared" si="86"/>
        <v>0</v>
      </c>
      <c r="L595" s="167">
        <f t="shared" si="86"/>
        <v>0</v>
      </c>
      <c r="M595" s="167">
        <f t="shared" si="86"/>
        <v>0</v>
      </c>
      <c r="O595" s="102">
        <f t="shared" si="81"/>
        <v>0</v>
      </c>
      <c r="P595" s="167">
        <f t="shared" ref="P595:U604" si="87">P$26*P439</f>
        <v>0</v>
      </c>
      <c r="Q595" s="167">
        <f t="shared" si="87"/>
        <v>0</v>
      </c>
      <c r="R595" s="167">
        <f t="shared" si="87"/>
        <v>0</v>
      </c>
      <c r="S595" s="167">
        <f t="shared" si="87"/>
        <v>0</v>
      </c>
      <c r="T595" s="167">
        <f t="shared" si="87"/>
        <v>0</v>
      </c>
      <c r="U595" s="167">
        <f t="shared" si="87"/>
        <v>0</v>
      </c>
    </row>
    <row r="596" spans="3:21" hidden="1" outlineLevel="2">
      <c r="C596" s="73" t="str">
        <v>SpareOfferB22</v>
      </c>
      <c r="D596" s="97" t="s">
        <v>189</v>
      </c>
      <c r="F596" s="148">
        <f t="shared" si="83"/>
        <v>0</v>
      </c>
      <c r="G596" s="102">
        <f t="shared" si="79"/>
        <v>0</v>
      </c>
      <c r="H596" s="167">
        <f t="shared" si="86"/>
        <v>0</v>
      </c>
      <c r="I596" s="167">
        <f t="shared" si="86"/>
        <v>0</v>
      </c>
      <c r="J596" s="167">
        <f t="shared" si="86"/>
        <v>0</v>
      </c>
      <c r="K596" s="167">
        <f t="shared" si="86"/>
        <v>0</v>
      </c>
      <c r="L596" s="167">
        <f t="shared" si="86"/>
        <v>0</v>
      </c>
      <c r="M596" s="167">
        <f t="shared" si="86"/>
        <v>0</v>
      </c>
      <c r="O596" s="102">
        <f t="shared" si="81"/>
        <v>0</v>
      </c>
      <c r="P596" s="167">
        <f t="shared" si="87"/>
        <v>0</v>
      </c>
      <c r="Q596" s="167">
        <f t="shared" si="87"/>
        <v>0</v>
      </c>
      <c r="R596" s="167">
        <f t="shared" si="87"/>
        <v>0</v>
      </c>
      <c r="S596" s="167">
        <f t="shared" si="87"/>
        <v>0</v>
      </c>
      <c r="T596" s="167">
        <f t="shared" si="87"/>
        <v>0</v>
      </c>
      <c r="U596" s="167">
        <f t="shared" si="87"/>
        <v>0</v>
      </c>
    </row>
    <row r="597" spans="3:21" hidden="1" outlineLevel="2">
      <c r="C597" s="73" t="str">
        <v>SpareOfferB23</v>
      </c>
      <c r="D597" s="97" t="s">
        <v>189</v>
      </c>
      <c r="F597" s="148">
        <f t="shared" si="83"/>
        <v>0</v>
      </c>
      <c r="G597" s="102">
        <f t="shared" si="79"/>
        <v>0</v>
      </c>
      <c r="H597" s="167">
        <f t="shared" si="86"/>
        <v>0</v>
      </c>
      <c r="I597" s="167">
        <f t="shared" si="86"/>
        <v>0</v>
      </c>
      <c r="J597" s="167">
        <f t="shared" si="86"/>
        <v>0</v>
      </c>
      <c r="K597" s="167">
        <f t="shared" si="86"/>
        <v>0</v>
      </c>
      <c r="L597" s="167">
        <f t="shared" si="86"/>
        <v>0</v>
      </c>
      <c r="M597" s="167">
        <f t="shared" si="86"/>
        <v>0</v>
      </c>
      <c r="O597" s="102">
        <f t="shared" si="81"/>
        <v>0</v>
      </c>
      <c r="P597" s="167">
        <f t="shared" si="87"/>
        <v>0</v>
      </c>
      <c r="Q597" s="167">
        <f t="shared" si="87"/>
        <v>0</v>
      </c>
      <c r="R597" s="167">
        <f t="shared" si="87"/>
        <v>0</v>
      </c>
      <c r="S597" s="167">
        <f t="shared" si="87"/>
        <v>0</v>
      </c>
      <c r="T597" s="167">
        <f t="shared" si="87"/>
        <v>0</v>
      </c>
      <c r="U597" s="167">
        <f t="shared" si="87"/>
        <v>0</v>
      </c>
    </row>
    <row r="598" spans="3:21" hidden="1" outlineLevel="2">
      <c r="C598" s="73" t="str">
        <v>SpareOfferB24</v>
      </c>
      <c r="D598" s="97" t="s">
        <v>189</v>
      </c>
      <c r="F598" s="148">
        <f t="shared" si="83"/>
        <v>0</v>
      </c>
      <c r="G598" s="102">
        <f t="shared" si="79"/>
        <v>0</v>
      </c>
      <c r="H598" s="167">
        <f t="shared" si="86"/>
        <v>0</v>
      </c>
      <c r="I598" s="167">
        <f t="shared" si="86"/>
        <v>0</v>
      </c>
      <c r="J598" s="167">
        <f t="shared" si="86"/>
        <v>0</v>
      </c>
      <c r="K598" s="167">
        <f t="shared" si="86"/>
        <v>0</v>
      </c>
      <c r="L598" s="167">
        <f t="shared" si="86"/>
        <v>0</v>
      </c>
      <c r="M598" s="167">
        <f t="shared" si="86"/>
        <v>0</v>
      </c>
      <c r="O598" s="102">
        <f t="shared" si="81"/>
        <v>0</v>
      </c>
      <c r="P598" s="167">
        <f t="shared" si="87"/>
        <v>0</v>
      </c>
      <c r="Q598" s="167">
        <f t="shared" si="87"/>
        <v>0</v>
      </c>
      <c r="R598" s="167">
        <f t="shared" si="87"/>
        <v>0</v>
      </c>
      <c r="S598" s="167">
        <f t="shared" si="87"/>
        <v>0</v>
      </c>
      <c r="T598" s="167">
        <f t="shared" si="87"/>
        <v>0</v>
      </c>
      <c r="U598" s="167">
        <f t="shared" si="87"/>
        <v>0</v>
      </c>
    </row>
    <row r="599" spans="3:21" hidden="1" outlineLevel="2">
      <c r="C599" s="73" t="str">
        <v>SpareOfferB25</v>
      </c>
      <c r="D599" s="97" t="s">
        <v>189</v>
      </c>
      <c r="F599" s="148">
        <f t="shared" si="83"/>
        <v>0</v>
      </c>
      <c r="G599" s="102">
        <f t="shared" si="79"/>
        <v>0</v>
      </c>
      <c r="H599" s="167">
        <f t="shared" si="86"/>
        <v>0</v>
      </c>
      <c r="I599" s="167">
        <f t="shared" si="86"/>
        <v>0</v>
      </c>
      <c r="J599" s="167">
        <f t="shared" si="86"/>
        <v>0</v>
      </c>
      <c r="K599" s="167">
        <f t="shared" si="86"/>
        <v>0</v>
      </c>
      <c r="L599" s="167">
        <f t="shared" si="86"/>
        <v>0</v>
      </c>
      <c r="M599" s="167">
        <f t="shared" si="86"/>
        <v>0</v>
      </c>
      <c r="O599" s="102">
        <f t="shared" si="81"/>
        <v>0</v>
      </c>
      <c r="P599" s="167">
        <f t="shared" si="87"/>
        <v>0</v>
      </c>
      <c r="Q599" s="167">
        <f t="shared" si="87"/>
        <v>0</v>
      </c>
      <c r="R599" s="167">
        <f t="shared" si="87"/>
        <v>0</v>
      </c>
      <c r="S599" s="167">
        <f t="shared" si="87"/>
        <v>0</v>
      </c>
      <c r="T599" s="167">
        <f t="shared" si="87"/>
        <v>0</v>
      </c>
      <c r="U599" s="167">
        <f t="shared" si="87"/>
        <v>0</v>
      </c>
    </row>
    <row r="600" spans="3:21" hidden="1" outlineLevel="2">
      <c r="C600" s="73" t="str">
        <v>SpareOfferB26</v>
      </c>
      <c r="D600" s="97" t="s">
        <v>189</v>
      </c>
      <c r="F600" s="148">
        <f t="shared" si="83"/>
        <v>0</v>
      </c>
      <c r="G600" s="102">
        <f t="shared" si="79"/>
        <v>0</v>
      </c>
      <c r="H600" s="167">
        <f t="shared" si="86"/>
        <v>0</v>
      </c>
      <c r="I600" s="167">
        <f t="shared" si="86"/>
        <v>0</v>
      </c>
      <c r="J600" s="167">
        <f t="shared" si="86"/>
        <v>0</v>
      </c>
      <c r="K600" s="167">
        <f t="shared" si="86"/>
        <v>0</v>
      </c>
      <c r="L600" s="167">
        <f t="shared" si="86"/>
        <v>0</v>
      </c>
      <c r="M600" s="167">
        <f t="shared" si="86"/>
        <v>0</v>
      </c>
      <c r="O600" s="102">
        <f t="shared" si="81"/>
        <v>0</v>
      </c>
      <c r="P600" s="167">
        <f t="shared" si="87"/>
        <v>0</v>
      </c>
      <c r="Q600" s="167">
        <f t="shared" si="87"/>
        <v>0</v>
      </c>
      <c r="R600" s="167">
        <f t="shared" si="87"/>
        <v>0</v>
      </c>
      <c r="S600" s="167">
        <f t="shared" si="87"/>
        <v>0</v>
      </c>
      <c r="T600" s="167">
        <f t="shared" si="87"/>
        <v>0</v>
      </c>
      <c r="U600" s="167">
        <f t="shared" si="87"/>
        <v>0</v>
      </c>
    </row>
    <row r="601" spans="3:21" hidden="1" outlineLevel="2">
      <c r="C601" s="73" t="str">
        <v>SpareOfferB27</v>
      </c>
      <c r="D601" s="97" t="s">
        <v>189</v>
      </c>
      <c r="F601" s="148">
        <f t="shared" si="83"/>
        <v>0</v>
      </c>
      <c r="G601" s="102">
        <f t="shared" si="79"/>
        <v>0</v>
      </c>
      <c r="H601" s="167">
        <f t="shared" si="86"/>
        <v>0</v>
      </c>
      <c r="I601" s="167">
        <f t="shared" si="86"/>
        <v>0</v>
      </c>
      <c r="J601" s="167">
        <f t="shared" si="86"/>
        <v>0</v>
      </c>
      <c r="K601" s="167">
        <f t="shared" si="86"/>
        <v>0</v>
      </c>
      <c r="L601" s="167">
        <f t="shared" si="86"/>
        <v>0</v>
      </c>
      <c r="M601" s="167">
        <f t="shared" si="86"/>
        <v>0</v>
      </c>
      <c r="O601" s="102">
        <f t="shared" si="81"/>
        <v>0</v>
      </c>
      <c r="P601" s="167">
        <f t="shared" si="87"/>
        <v>0</v>
      </c>
      <c r="Q601" s="167">
        <f t="shared" si="87"/>
        <v>0</v>
      </c>
      <c r="R601" s="167">
        <f t="shared" si="87"/>
        <v>0</v>
      </c>
      <c r="S601" s="167">
        <f t="shared" si="87"/>
        <v>0</v>
      </c>
      <c r="T601" s="167">
        <f t="shared" si="87"/>
        <v>0</v>
      </c>
      <c r="U601" s="167">
        <f t="shared" si="87"/>
        <v>0</v>
      </c>
    </row>
    <row r="602" spans="3:21" hidden="1" outlineLevel="2">
      <c r="C602" s="73" t="str">
        <v>SpareOfferB28</v>
      </c>
      <c r="D602" s="97" t="s">
        <v>189</v>
      </c>
      <c r="F602" s="148">
        <f t="shared" si="83"/>
        <v>0</v>
      </c>
      <c r="G602" s="102">
        <f t="shared" si="79"/>
        <v>0</v>
      </c>
      <c r="H602" s="167">
        <f t="shared" si="86"/>
        <v>0</v>
      </c>
      <c r="I602" s="167">
        <f t="shared" si="86"/>
        <v>0</v>
      </c>
      <c r="J602" s="167">
        <f t="shared" si="86"/>
        <v>0</v>
      </c>
      <c r="K602" s="167">
        <f t="shared" si="86"/>
        <v>0</v>
      </c>
      <c r="L602" s="167">
        <f t="shared" si="86"/>
        <v>0</v>
      </c>
      <c r="M602" s="167">
        <f t="shared" si="86"/>
        <v>0</v>
      </c>
      <c r="O602" s="102">
        <f t="shared" si="81"/>
        <v>0</v>
      </c>
      <c r="P602" s="167">
        <f t="shared" si="87"/>
        <v>0</v>
      </c>
      <c r="Q602" s="167">
        <f t="shared" si="87"/>
        <v>0</v>
      </c>
      <c r="R602" s="167">
        <f t="shared" si="87"/>
        <v>0</v>
      </c>
      <c r="S602" s="167">
        <f t="shared" si="87"/>
        <v>0</v>
      </c>
      <c r="T602" s="167">
        <f t="shared" si="87"/>
        <v>0</v>
      </c>
      <c r="U602" s="167">
        <f t="shared" si="87"/>
        <v>0</v>
      </c>
    </row>
    <row r="603" spans="3:21" hidden="1" outlineLevel="2">
      <c r="C603" s="73" t="str">
        <v>SpareOfferB29</v>
      </c>
      <c r="D603" s="97" t="s">
        <v>189</v>
      </c>
      <c r="F603" s="148">
        <f t="shared" si="83"/>
        <v>0</v>
      </c>
      <c r="G603" s="102">
        <f t="shared" si="79"/>
        <v>0</v>
      </c>
      <c r="H603" s="167">
        <f t="shared" si="86"/>
        <v>0</v>
      </c>
      <c r="I603" s="167">
        <f t="shared" si="86"/>
        <v>0</v>
      </c>
      <c r="J603" s="167">
        <f t="shared" si="86"/>
        <v>0</v>
      </c>
      <c r="K603" s="167">
        <f t="shared" si="86"/>
        <v>0</v>
      </c>
      <c r="L603" s="167">
        <f t="shared" si="86"/>
        <v>0</v>
      </c>
      <c r="M603" s="167">
        <f t="shared" si="86"/>
        <v>0</v>
      </c>
      <c r="O603" s="102">
        <f t="shared" si="81"/>
        <v>0</v>
      </c>
      <c r="P603" s="167">
        <f t="shared" si="87"/>
        <v>0</v>
      </c>
      <c r="Q603" s="167">
        <f t="shared" si="87"/>
        <v>0</v>
      </c>
      <c r="R603" s="167">
        <f t="shared" si="87"/>
        <v>0</v>
      </c>
      <c r="S603" s="167">
        <f t="shared" si="87"/>
        <v>0</v>
      </c>
      <c r="T603" s="167">
        <f t="shared" si="87"/>
        <v>0</v>
      </c>
      <c r="U603" s="167">
        <f t="shared" si="87"/>
        <v>0</v>
      </c>
    </row>
    <row r="604" spans="3:21" hidden="1" outlineLevel="2">
      <c r="C604" s="73" t="str">
        <v>SpareOfferB30</v>
      </c>
      <c r="D604" s="97" t="s">
        <v>189</v>
      </c>
      <c r="F604" s="148">
        <f t="shared" si="83"/>
        <v>0</v>
      </c>
      <c r="G604" s="102">
        <f t="shared" si="79"/>
        <v>0</v>
      </c>
      <c r="H604" s="167">
        <f t="shared" si="86"/>
        <v>0</v>
      </c>
      <c r="I604" s="167">
        <f t="shared" si="86"/>
        <v>0</v>
      </c>
      <c r="J604" s="167">
        <f t="shared" si="86"/>
        <v>0</v>
      </c>
      <c r="K604" s="167">
        <f t="shared" si="86"/>
        <v>0</v>
      </c>
      <c r="L604" s="167">
        <f t="shared" si="86"/>
        <v>0</v>
      </c>
      <c r="M604" s="167">
        <f t="shared" si="86"/>
        <v>0</v>
      </c>
      <c r="O604" s="102">
        <f t="shared" si="81"/>
        <v>0</v>
      </c>
      <c r="P604" s="167">
        <f t="shared" si="87"/>
        <v>0</v>
      </c>
      <c r="Q604" s="167">
        <f t="shared" si="87"/>
        <v>0</v>
      </c>
      <c r="R604" s="167">
        <f t="shared" si="87"/>
        <v>0</v>
      </c>
      <c r="S604" s="167">
        <f t="shared" si="87"/>
        <v>0</v>
      </c>
      <c r="T604" s="167">
        <f t="shared" si="87"/>
        <v>0</v>
      </c>
      <c r="U604" s="167">
        <f t="shared" si="87"/>
        <v>0</v>
      </c>
    </row>
    <row r="605" spans="3:21" ht="12" hidden="1" customHeight="1" outlineLevel="2">
      <c r="C605" s="73" t="str">
        <v>SpareOfferB31</v>
      </c>
      <c r="D605" s="97" t="s">
        <v>189</v>
      </c>
      <c r="F605" s="148">
        <f t="shared" si="83"/>
        <v>0</v>
      </c>
      <c r="G605" s="102">
        <f t="shared" si="79"/>
        <v>0</v>
      </c>
      <c r="H605" s="167">
        <f t="shared" ref="H605:M609" si="88">H$26*H449</f>
        <v>0</v>
      </c>
      <c r="I605" s="167">
        <f t="shared" si="88"/>
        <v>0</v>
      </c>
      <c r="J605" s="167">
        <f t="shared" si="88"/>
        <v>0</v>
      </c>
      <c r="K605" s="167">
        <f t="shared" si="88"/>
        <v>0</v>
      </c>
      <c r="L605" s="167">
        <f t="shared" si="88"/>
        <v>0</v>
      </c>
      <c r="M605" s="167">
        <f t="shared" si="88"/>
        <v>0</v>
      </c>
      <c r="O605" s="102">
        <f t="shared" si="81"/>
        <v>0</v>
      </c>
      <c r="P605" s="167">
        <f t="shared" ref="P605:U609" si="89">P$26*P449</f>
        <v>0</v>
      </c>
      <c r="Q605" s="167">
        <f t="shared" si="89"/>
        <v>0</v>
      </c>
      <c r="R605" s="167">
        <f t="shared" si="89"/>
        <v>0</v>
      </c>
      <c r="S605" s="167">
        <f t="shared" si="89"/>
        <v>0</v>
      </c>
      <c r="T605" s="167">
        <f t="shared" si="89"/>
        <v>0</v>
      </c>
      <c r="U605" s="167">
        <f t="shared" si="89"/>
        <v>0</v>
      </c>
    </row>
    <row r="606" spans="3:21" hidden="1" outlineLevel="2">
      <c r="C606" s="73" t="str">
        <v>SpareOfferB32</v>
      </c>
      <c r="D606" s="97" t="s">
        <v>189</v>
      </c>
      <c r="F606" s="148">
        <f t="shared" si="83"/>
        <v>0</v>
      </c>
      <c r="G606" s="102">
        <f t="shared" si="79"/>
        <v>0</v>
      </c>
      <c r="H606" s="167">
        <f t="shared" si="88"/>
        <v>0</v>
      </c>
      <c r="I606" s="167">
        <f t="shared" si="88"/>
        <v>0</v>
      </c>
      <c r="J606" s="167">
        <f t="shared" si="88"/>
        <v>0</v>
      </c>
      <c r="K606" s="167">
        <f t="shared" si="88"/>
        <v>0</v>
      </c>
      <c r="L606" s="167">
        <f t="shared" si="88"/>
        <v>0</v>
      </c>
      <c r="M606" s="167">
        <f t="shared" si="88"/>
        <v>0</v>
      </c>
      <c r="O606" s="102">
        <f t="shared" si="81"/>
        <v>0</v>
      </c>
      <c r="P606" s="167">
        <f t="shared" si="89"/>
        <v>0</v>
      </c>
      <c r="Q606" s="167">
        <f t="shared" si="89"/>
        <v>0</v>
      </c>
      <c r="R606" s="167">
        <f t="shared" si="89"/>
        <v>0</v>
      </c>
      <c r="S606" s="167">
        <f t="shared" si="89"/>
        <v>0</v>
      </c>
      <c r="T606" s="167">
        <f t="shared" si="89"/>
        <v>0</v>
      </c>
      <c r="U606" s="167">
        <f t="shared" si="89"/>
        <v>0</v>
      </c>
    </row>
    <row r="607" spans="3:21" hidden="1" outlineLevel="2">
      <c r="C607" s="73" t="str">
        <v>SpareOfferB33</v>
      </c>
      <c r="D607" s="97" t="s">
        <v>189</v>
      </c>
      <c r="F607" s="148">
        <f t="shared" si="83"/>
        <v>0</v>
      </c>
      <c r="G607" s="102">
        <f t="shared" si="79"/>
        <v>0</v>
      </c>
      <c r="H607" s="167">
        <f t="shared" si="88"/>
        <v>0</v>
      </c>
      <c r="I607" s="167">
        <f t="shared" si="88"/>
        <v>0</v>
      </c>
      <c r="J607" s="167">
        <f t="shared" si="88"/>
        <v>0</v>
      </c>
      <c r="K607" s="167">
        <f t="shared" si="88"/>
        <v>0</v>
      </c>
      <c r="L607" s="167">
        <f t="shared" si="88"/>
        <v>0</v>
      </c>
      <c r="M607" s="167">
        <f t="shared" si="88"/>
        <v>0</v>
      </c>
      <c r="O607" s="102">
        <f t="shared" si="81"/>
        <v>0</v>
      </c>
      <c r="P607" s="167">
        <f t="shared" si="89"/>
        <v>0</v>
      </c>
      <c r="Q607" s="167">
        <f t="shared" si="89"/>
        <v>0</v>
      </c>
      <c r="R607" s="167">
        <f t="shared" si="89"/>
        <v>0</v>
      </c>
      <c r="S607" s="167">
        <f t="shared" si="89"/>
        <v>0</v>
      </c>
      <c r="T607" s="167">
        <f t="shared" si="89"/>
        <v>0</v>
      </c>
      <c r="U607" s="167">
        <f t="shared" si="89"/>
        <v>0</v>
      </c>
    </row>
    <row r="608" spans="3:21" hidden="1" outlineLevel="2">
      <c r="C608" s="73" t="str">
        <v>SpareOfferB34</v>
      </c>
      <c r="D608" s="97" t="s">
        <v>189</v>
      </c>
      <c r="F608" s="148">
        <f t="shared" si="83"/>
        <v>0</v>
      </c>
      <c r="G608" s="102">
        <f t="shared" si="79"/>
        <v>0</v>
      </c>
      <c r="H608" s="167">
        <f t="shared" si="88"/>
        <v>0</v>
      </c>
      <c r="I608" s="167">
        <f t="shared" si="88"/>
        <v>0</v>
      </c>
      <c r="J608" s="167">
        <f t="shared" si="88"/>
        <v>0</v>
      </c>
      <c r="K608" s="167">
        <f t="shared" si="88"/>
        <v>0</v>
      </c>
      <c r="L608" s="167">
        <f t="shared" si="88"/>
        <v>0</v>
      </c>
      <c r="M608" s="167">
        <f t="shared" si="88"/>
        <v>0</v>
      </c>
      <c r="O608" s="102">
        <f t="shared" si="81"/>
        <v>0</v>
      </c>
      <c r="P608" s="167">
        <f t="shared" si="89"/>
        <v>0</v>
      </c>
      <c r="Q608" s="167">
        <f t="shared" si="89"/>
        <v>0</v>
      </c>
      <c r="R608" s="167">
        <f t="shared" si="89"/>
        <v>0</v>
      </c>
      <c r="S608" s="167">
        <f t="shared" si="89"/>
        <v>0</v>
      </c>
      <c r="T608" s="167">
        <f t="shared" si="89"/>
        <v>0</v>
      </c>
      <c r="U608" s="167">
        <f t="shared" si="89"/>
        <v>0</v>
      </c>
    </row>
    <row r="609" spans="3:21" outlineLevel="1" collapsed="1">
      <c r="C609" s="73" t="str">
        <v>SpareOfferB35</v>
      </c>
      <c r="D609" s="97" t="s">
        <v>189</v>
      </c>
      <c r="F609" s="148">
        <f t="shared" si="83"/>
        <v>0</v>
      </c>
      <c r="G609" s="102">
        <f t="shared" si="79"/>
        <v>0</v>
      </c>
      <c r="H609" s="167">
        <f t="shared" si="88"/>
        <v>0</v>
      </c>
      <c r="I609" s="167">
        <f t="shared" si="88"/>
        <v>0</v>
      </c>
      <c r="J609" s="167">
        <f t="shared" si="88"/>
        <v>0</v>
      </c>
      <c r="K609" s="167">
        <f t="shared" si="88"/>
        <v>0</v>
      </c>
      <c r="L609" s="167">
        <f t="shared" si="88"/>
        <v>0</v>
      </c>
      <c r="M609" s="167">
        <f t="shared" si="88"/>
        <v>0</v>
      </c>
      <c r="O609" s="102">
        <f t="shared" si="81"/>
        <v>0</v>
      </c>
      <c r="P609" s="167">
        <f t="shared" si="89"/>
        <v>0</v>
      </c>
      <c r="Q609" s="167">
        <f t="shared" si="89"/>
        <v>0</v>
      </c>
      <c r="R609" s="167">
        <f t="shared" si="89"/>
        <v>0</v>
      </c>
      <c r="S609" s="167">
        <f t="shared" si="89"/>
        <v>0</v>
      </c>
      <c r="T609" s="167">
        <f t="shared" si="89"/>
        <v>0</v>
      </c>
      <c r="U609" s="167">
        <f t="shared" si="89"/>
        <v>0</v>
      </c>
    </row>
    <row r="610" spans="3:21" outlineLevel="1"/>
    <row r="611" spans="3:21" outlineLevel="1">
      <c r="C611" s="35" t="s">
        <v>316</v>
      </c>
      <c r="G611" s="165" t="s">
        <v>228</v>
      </c>
      <c r="H611" s="165"/>
      <c r="I611" s="165"/>
      <c r="J611" s="165"/>
      <c r="K611" s="165"/>
      <c r="L611" s="165"/>
      <c r="M611" s="165"/>
      <c r="N611" s="165"/>
      <c r="O611" s="165"/>
    </row>
    <row r="612" spans="3:21" ht="23" outlineLevel="1">
      <c r="F612" s="1" t="s">
        <v>317</v>
      </c>
      <c r="G612" s="95" t="str">
        <f t="array" ref="G612:O612">TRANSPOSE(wholesale.data.tiers)</f>
        <v>W/S spare tier 1</v>
      </c>
      <c r="H612" s="95" t="str">
        <v>W/S spare tier 2</v>
      </c>
      <c r="I612" s="95" t="str">
        <v>W/S spare tier 3</v>
      </c>
      <c r="J612" s="95" t="str">
        <v>W/S spare tier 4</v>
      </c>
      <c r="K612" s="95" t="str">
        <v>W/S spare tier 5</v>
      </c>
      <c r="L612" s="95" t="str">
        <v>W/S spare tier 6</v>
      </c>
      <c r="M612" s="95" t="str">
        <v>W/S spare tier 7</v>
      </c>
      <c r="N612" s="95" t="str">
        <v>W/S spare tier 8</v>
      </c>
      <c r="O612" s="95" t="str">
        <v>W/S spare tier 9</v>
      </c>
    </row>
    <row r="613" spans="3:21" outlineLevel="1">
      <c r="C613" s="91" t="s">
        <v>89</v>
      </c>
      <c r="D613" s="97" t="s">
        <v>189</v>
      </c>
      <c r="F613" s="114">
        <f>SUMPRODUCT(F614:F648,subscription.split.segment.2)</f>
        <v>0</v>
      </c>
      <c r="G613" s="114">
        <f t="shared" ref="G613:O613" si="90">SUMPRODUCT(G614:G648,subscription.split.segment.2)</f>
        <v>0</v>
      </c>
      <c r="H613" s="114">
        <f t="shared" si="90"/>
        <v>0</v>
      </c>
      <c r="I613" s="114">
        <f t="shared" si="90"/>
        <v>0</v>
      </c>
      <c r="J613" s="114">
        <f t="shared" si="90"/>
        <v>0</v>
      </c>
      <c r="K613" s="114">
        <f t="shared" si="90"/>
        <v>0</v>
      </c>
      <c r="L613" s="114">
        <f t="shared" si="90"/>
        <v>0</v>
      </c>
      <c r="M613" s="114">
        <f t="shared" si="90"/>
        <v>0</v>
      </c>
      <c r="N613" s="114">
        <f t="shared" si="90"/>
        <v>0</v>
      </c>
      <c r="O613" s="114">
        <f t="shared" si="90"/>
        <v>0</v>
      </c>
    </row>
    <row r="614" spans="3:21" outlineLevel="1">
      <c r="C614" s="73" t="str">
        <f t="array" ref="C614:C648">offers.segment.2</f>
        <v>SpareOfferB1</v>
      </c>
      <c r="D614" s="97" t="s">
        <v>189</v>
      </c>
      <c r="F614" s="122">
        <f>SUM(G614:O614)</f>
        <v>0</v>
      </c>
      <c r="G614" s="161">
        <f>G458*G68</f>
        <v>0</v>
      </c>
      <c r="H614" s="161">
        <f t="shared" ref="H614:O614" si="91">H458*H68</f>
        <v>0</v>
      </c>
      <c r="I614" s="161">
        <f t="shared" si="91"/>
        <v>0</v>
      </c>
      <c r="J614" s="161">
        <f t="shared" si="91"/>
        <v>0</v>
      </c>
      <c r="K614" s="161">
        <f t="shared" si="91"/>
        <v>0</v>
      </c>
      <c r="L614" s="161">
        <f t="shared" si="91"/>
        <v>0</v>
      </c>
      <c r="M614" s="161">
        <f t="shared" si="91"/>
        <v>0</v>
      </c>
      <c r="N614" s="161">
        <f t="shared" si="91"/>
        <v>0</v>
      </c>
      <c r="O614" s="161">
        <f t="shared" si="91"/>
        <v>0</v>
      </c>
    </row>
    <row r="615" spans="3:21" hidden="1" outlineLevel="2">
      <c r="C615" s="73" t="str">
        <v>SpareOfferB2</v>
      </c>
      <c r="D615" s="97" t="s">
        <v>189</v>
      </c>
      <c r="F615" s="122">
        <f t="shared" ref="F615:F648" si="92">SUM(G615:O615)</f>
        <v>0</v>
      </c>
      <c r="G615" s="161">
        <f t="shared" ref="G615:O615" si="93">G459*G69</f>
        <v>0</v>
      </c>
      <c r="H615" s="161">
        <f t="shared" si="93"/>
        <v>0</v>
      </c>
      <c r="I615" s="161">
        <f t="shared" si="93"/>
        <v>0</v>
      </c>
      <c r="J615" s="161">
        <f t="shared" si="93"/>
        <v>0</v>
      </c>
      <c r="K615" s="161">
        <f t="shared" si="93"/>
        <v>0</v>
      </c>
      <c r="L615" s="161">
        <f t="shared" si="93"/>
        <v>0</v>
      </c>
      <c r="M615" s="161">
        <f t="shared" si="93"/>
        <v>0</v>
      </c>
      <c r="N615" s="161">
        <f t="shared" si="93"/>
        <v>0</v>
      </c>
      <c r="O615" s="161">
        <f t="shared" si="93"/>
        <v>0</v>
      </c>
    </row>
    <row r="616" spans="3:21" hidden="1" outlineLevel="2">
      <c r="C616" s="73" t="str">
        <v>SpareOfferB3</v>
      </c>
      <c r="D616" s="97" t="s">
        <v>189</v>
      </c>
      <c r="F616" s="122">
        <f t="shared" si="92"/>
        <v>0</v>
      </c>
      <c r="G616" s="161">
        <f t="shared" ref="G616:O616" si="94">G460*G70</f>
        <v>0</v>
      </c>
      <c r="H616" s="161">
        <f t="shared" si="94"/>
        <v>0</v>
      </c>
      <c r="I616" s="161">
        <f t="shared" si="94"/>
        <v>0</v>
      </c>
      <c r="J616" s="161">
        <f t="shared" si="94"/>
        <v>0</v>
      </c>
      <c r="K616" s="161">
        <f t="shared" si="94"/>
        <v>0</v>
      </c>
      <c r="L616" s="161">
        <f t="shared" si="94"/>
        <v>0</v>
      </c>
      <c r="M616" s="161">
        <f t="shared" si="94"/>
        <v>0</v>
      </c>
      <c r="N616" s="161">
        <f t="shared" si="94"/>
        <v>0</v>
      </c>
      <c r="O616" s="161">
        <f t="shared" si="94"/>
        <v>0</v>
      </c>
    </row>
    <row r="617" spans="3:21" hidden="1" outlineLevel="2">
      <c r="C617" s="73" t="str">
        <v>SpareOfferB4</v>
      </c>
      <c r="D617" s="97" t="s">
        <v>189</v>
      </c>
      <c r="F617" s="122">
        <f t="shared" si="92"/>
        <v>0</v>
      </c>
      <c r="G617" s="161">
        <f t="shared" ref="G617:O617" si="95">G461*G71</f>
        <v>0</v>
      </c>
      <c r="H617" s="161">
        <f t="shared" si="95"/>
        <v>0</v>
      </c>
      <c r="I617" s="161">
        <f t="shared" si="95"/>
        <v>0</v>
      </c>
      <c r="J617" s="161">
        <f t="shared" si="95"/>
        <v>0</v>
      </c>
      <c r="K617" s="161">
        <f t="shared" si="95"/>
        <v>0</v>
      </c>
      <c r="L617" s="161">
        <f t="shared" si="95"/>
        <v>0</v>
      </c>
      <c r="M617" s="161">
        <f t="shared" si="95"/>
        <v>0</v>
      </c>
      <c r="N617" s="161">
        <f t="shared" si="95"/>
        <v>0</v>
      </c>
      <c r="O617" s="161">
        <f t="shared" si="95"/>
        <v>0</v>
      </c>
    </row>
    <row r="618" spans="3:21" hidden="1" outlineLevel="2">
      <c r="C618" s="73" t="str">
        <v>SpareOfferB5</v>
      </c>
      <c r="D618" s="97" t="s">
        <v>189</v>
      </c>
      <c r="F618" s="122">
        <f t="shared" si="92"/>
        <v>0</v>
      </c>
      <c r="G618" s="161">
        <f t="shared" ref="G618:O618" si="96">G462*G72</f>
        <v>0</v>
      </c>
      <c r="H618" s="161">
        <f t="shared" si="96"/>
        <v>0</v>
      </c>
      <c r="I618" s="161">
        <f t="shared" si="96"/>
        <v>0</v>
      </c>
      <c r="J618" s="161">
        <f t="shared" si="96"/>
        <v>0</v>
      </c>
      <c r="K618" s="161">
        <f t="shared" si="96"/>
        <v>0</v>
      </c>
      <c r="L618" s="161">
        <f t="shared" si="96"/>
        <v>0</v>
      </c>
      <c r="M618" s="161">
        <f t="shared" si="96"/>
        <v>0</v>
      </c>
      <c r="N618" s="161">
        <f t="shared" si="96"/>
        <v>0</v>
      </c>
      <c r="O618" s="161">
        <f t="shared" si="96"/>
        <v>0</v>
      </c>
    </row>
    <row r="619" spans="3:21" hidden="1" outlineLevel="2">
      <c r="C619" s="73" t="str">
        <v>SpareOfferB6</v>
      </c>
      <c r="D619" s="97" t="s">
        <v>189</v>
      </c>
      <c r="F619" s="122">
        <f t="shared" si="92"/>
        <v>0</v>
      </c>
      <c r="G619" s="161">
        <f t="shared" ref="G619:O619" si="97">G463*G73</f>
        <v>0</v>
      </c>
      <c r="H619" s="161">
        <f t="shared" si="97"/>
        <v>0</v>
      </c>
      <c r="I619" s="161">
        <f t="shared" si="97"/>
        <v>0</v>
      </c>
      <c r="J619" s="161">
        <f t="shared" si="97"/>
        <v>0</v>
      </c>
      <c r="K619" s="161">
        <f t="shared" si="97"/>
        <v>0</v>
      </c>
      <c r="L619" s="161">
        <f t="shared" si="97"/>
        <v>0</v>
      </c>
      <c r="M619" s="161">
        <f t="shared" si="97"/>
        <v>0</v>
      </c>
      <c r="N619" s="161">
        <f t="shared" si="97"/>
        <v>0</v>
      </c>
      <c r="O619" s="161">
        <f t="shared" si="97"/>
        <v>0</v>
      </c>
    </row>
    <row r="620" spans="3:21" hidden="1" outlineLevel="2">
      <c r="C620" s="73" t="str">
        <v>SpareOfferB7</v>
      </c>
      <c r="D620" s="97" t="s">
        <v>189</v>
      </c>
      <c r="F620" s="122">
        <f t="shared" si="92"/>
        <v>0</v>
      </c>
      <c r="G620" s="161">
        <f t="shared" ref="G620:O620" si="98">G464*G74</f>
        <v>0</v>
      </c>
      <c r="H620" s="161">
        <f t="shared" si="98"/>
        <v>0</v>
      </c>
      <c r="I620" s="161">
        <f t="shared" si="98"/>
        <v>0</v>
      </c>
      <c r="J620" s="161">
        <f t="shared" si="98"/>
        <v>0</v>
      </c>
      <c r="K620" s="161">
        <f t="shared" si="98"/>
        <v>0</v>
      </c>
      <c r="L620" s="161">
        <f t="shared" si="98"/>
        <v>0</v>
      </c>
      <c r="M620" s="161">
        <f t="shared" si="98"/>
        <v>0</v>
      </c>
      <c r="N620" s="161">
        <f t="shared" si="98"/>
        <v>0</v>
      </c>
      <c r="O620" s="161">
        <f t="shared" si="98"/>
        <v>0</v>
      </c>
    </row>
    <row r="621" spans="3:21" hidden="1" outlineLevel="2">
      <c r="C621" s="73" t="str">
        <v>SpareOfferB8</v>
      </c>
      <c r="D621" s="97" t="s">
        <v>189</v>
      </c>
      <c r="F621" s="122">
        <f t="shared" si="92"/>
        <v>0</v>
      </c>
      <c r="G621" s="161">
        <f t="shared" ref="G621:O621" si="99">G465*G75</f>
        <v>0</v>
      </c>
      <c r="H621" s="161">
        <f t="shared" si="99"/>
        <v>0</v>
      </c>
      <c r="I621" s="161">
        <f t="shared" si="99"/>
        <v>0</v>
      </c>
      <c r="J621" s="161">
        <f t="shared" si="99"/>
        <v>0</v>
      </c>
      <c r="K621" s="161">
        <f t="shared" si="99"/>
        <v>0</v>
      </c>
      <c r="L621" s="161">
        <f t="shared" si="99"/>
        <v>0</v>
      </c>
      <c r="M621" s="161">
        <f t="shared" si="99"/>
        <v>0</v>
      </c>
      <c r="N621" s="161">
        <f t="shared" si="99"/>
        <v>0</v>
      </c>
      <c r="O621" s="161">
        <f t="shared" si="99"/>
        <v>0</v>
      </c>
    </row>
    <row r="622" spans="3:21" hidden="1" outlineLevel="2">
      <c r="C622" s="73" t="str">
        <v>SpareOfferB9</v>
      </c>
      <c r="D622" s="97" t="s">
        <v>189</v>
      </c>
      <c r="F622" s="122">
        <f t="shared" si="92"/>
        <v>0</v>
      </c>
      <c r="G622" s="161">
        <f t="shared" ref="G622:O622" si="100">G466*G76</f>
        <v>0</v>
      </c>
      <c r="H622" s="161">
        <f t="shared" si="100"/>
        <v>0</v>
      </c>
      <c r="I622" s="161">
        <f t="shared" si="100"/>
        <v>0</v>
      </c>
      <c r="J622" s="161">
        <f t="shared" si="100"/>
        <v>0</v>
      </c>
      <c r="K622" s="161">
        <f t="shared" si="100"/>
        <v>0</v>
      </c>
      <c r="L622" s="161">
        <f t="shared" si="100"/>
        <v>0</v>
      </c>
      <c r="M622" s="161">
        <f t="shared" si="100"/>
        <v>0</v>
      </c>
      <c r="N622" s="161">
        <f t="shared" si="100"/>
        <v>0</v>
      </c>
      <c r="O622" s="161">
        <f t="shared" si="100"/>
        <v>0</v>
      </c>
    </row>
    <row r="623" spans="3:21" hidden="1" outlineLevel="2">
      <c r="C623" s="73" t="str">
        <v>SpareOfferB10</v>
      </c>
      <c r="D623" s="97" t="s">
        <v>189</v>
      </c>
      <c r="F623" s="122">
        <f t="shared" si="92"/>
        <v>0</v>
      </c>
      <c r="G623" s="161">
        <f t="shared" ref="G623:O623" si="101">G467*G77</f>
        <v>0</v>
      </c>
      <c r="H623" s="161">
        <f t="shared" si="101"/>
        <v>0</v>
      </c>
      <c r="I623" s="161">
        <f t="shared" si="101"/>
        <v>0</v>
      </c>
      <c r="J623" s="161">
        <f t="shared" si="101"/>
        <v>0</v>
      </c>
      <c r="K623" s="161">
        <f t="shared" si="101"/>
        <v>0</v>
      </c>
      <c r="L623" s="161">
        <f t="shared" si="101"/>
        <v>0</v>
      </c>
      <c r="M623" s="161">
        <f t="shared" si="101"/>
        <v>0</v>
      </c>
      <c r="N623" s="161">
        <f t="shared" si="101"/>
        <v>0</v>
      </c>
      <c r="O623" s="161">
        <f t="shared" si="101"/>
        <v>0</v>
      </c>
    </row>
    <row r="624" spans="3:21" hidden="1" outlineLevel="2">
      <c r="C624" s="73" t="str">
        <v>SpareOfferB11</v>
      </c>
      <c r="D624" s="97" t="s">
        <v>189</v>
      </c>
      <c r="F624" s="122">
        <f t="shared" si="92"/>
        <v>0</v>
      </c>
      <c r="G624" s="161">
        <f t="shared" ref="G624:O624" si="102">G468*G78</f>
        <v>0</v>
      </c>
      <c r="H624" s="161">
        <f t="shared" si="102"/>
        <v>0</v>
      </c>
      <c r="I624" s="161">
        <f t="shared" si="102"/>
        <v>0</v>
      </c>
      <c r="J624" s="161">
        <f t="shared" si="102"/>
        <v>0</v>
      </c>
      <c r="K624" s="161">
        <f t="shared" si="102"/>
        <v>0</v>
      </c>
      <c r="L624" s="161">
        <f t="shared" si="102"/>
        <v>0</v>
      </c>
      <c r="M624" s="161">
        <f t="shared" si="102"/>
        <v>0</v>
      </c>
      <c r="N624" s="161">
        <f t="shared" si="102"/>
        <v>0</v>
      </c>
      <c r="O624" s="161">
        <f t="shared" si="102"/>
        <v>0</v>
      </c>
    </row>
    <row r="625" spans="3:15" hidden="1" outlineLevel="2">
      <c r="C625" s="73" t="str">
        <v>SpareOfferB12</v>
      </c>
      <c r="D625" s="97" t="s">
        <v>189</v>
      </c>
      <c r="F625" s="122">
        <f t="shared" si="92"/>
        <v>0</v>
      </c>
      <c r="G625" s="161">
        <f t="shared" ref="G625:O625" si="103">G469*G79</f>
        <v>0</v>
      </c>
      <c r="H625" s="161">
        <f t="shared" si="103"/>
        <v>0</v>
      </c>
      <c r="I625" s="161">
        <f t="shared" si="103"/>
        <v>0</v>
      </c>
      <c r="J625" s="161">
        <f t="shared" si="103"/>
        <v>0</v>
      </c>
      <c r="K625" s="161">
        <f t="shared" si="103"/>
        <v>0</v>
      </c>
      <c r="L625" s="161">
        <f t="shared" si="103"/>
        <v>0</v>
      </c>
      <c r="M625" s="161">
        <f t="shared" si="103"/>
        <v>0</v>
      </c>
      <c r="N625" s="161">
        <f t="shared" si="103"/>
        <v>0</v>
      </c>
      <c r="O625" s="161">
        <f t="shared" si="103"/>
        <v>0</v>
      </c>
    </row>
    <row r="626" spans="3:15" hidden="1" outlineLevel="2">
      <c r="C626" s="73" t="str">
        <v>SpareOfferB13</v>
      </c>
      <c r="D626" s="97" t="s">
        <v>189</v>
      </c>
      <c r="F626" s="122">
        <f t="shared" si="92"/>
        <v>0</v>
      </c>
      <c r="G626" s="161">
        <f t="shared" ref="G626:O626" si="104">G470*G80</f>
        <v>0</v>
      </c>
      <c r="H626" s="161">
        <f t="shared" si="104"/>
        <v>0</v>
      </c>
      <c r="I626" s="161">
        <f t="shared" si="104"/>
        <v>0</v>
      </c>
      <c r="J626" s="161">
        <f t="shared" si="104"/>
        <v>0</v>
      </c>
      <c r="K626" s="161">
        <f t="shared" si="104"/>
        <v>0</v>
      </c>
      <c r="L626" s="161">
        <f t="shared" si="104"/>
        <v>0</v>
      </c>
      <c r="M626" s="161">
        <f t="shared" si="104"/>
        <v>0</v>
      </c>
      <c r="N626" s="161">
        <f t="shared" si="104"/>
        <v>0</v>
      </c>
      <c r="O626" s="161">
        <f t="shared" si="104"/>
        <v>0</v>
      </c>
    </row>
    <row r="627" spans="3:15" hidden="1" outlineLevel="2">
      <c r="C627" s="73" t="str">
        <v>SpareOfferB14</v>
      </c>
      <c r="D627" s="97" t="s">
        <v>189</v>
      </c>
      <c r="F627" s="122">
        <f t="shared" si="92"/>
        <v>0</v>
      </c>
      <c r="G627" s="161">
        <f t="shared" ref="G627:O627" si="105">G471*G81</f>
        <v>0</v>
      </c>
      <c r="H627" s="161">
        <f t="shared" si="105"/>
        <v>0</v>
      </c>
      <c r="I627" s="161">
        <f t="shared" si="105"/>
        <v>0</v>
      </c>
      <c r="J627" s="161">
        <f t="shared" si="105"/>
        <v>0</v>
      </c>
      <c r="K627" s="161">
        <f t="shared" si="105"/>
        <v>0</v>
      </c>
      <c r="L627" s="161">
        <f t="shared" si="105"/>
        <v>0</v>
      </c>
      <c r="M627" s="161">
        <f t="shared" si="105"/>
        <v>0</v>
      </c>
      <c r="N627" s="161">
        <f t="shared" si="105"/>
        <v>0</v>
      </c>
      <c r="O627" s="161">
        <f t="shared" si="105"/>
        <v>0</v>
      </c>
    </row>
    <row r="628" spans="3:15" hidden="1" outlineLevel="2">
      <c r="C628" s="73" t="str">
        <v>SpareOfferB15</v>
      </c>
      <c r="D628" s="97" t="s">
        <v>189</v>
      </c>
      <c r="F628" s="122">
        <f t="shared" si="92"/>
        <v>0</v>
      </c>
      <c r="G628" s="161">
        <f t="shared" ref="G628:O628" si="106">G472*G82</f>
        <v>0</v>
      </c>
      <c r="H628" s="161">
        <f t="shared" si="106"/>
        <v>0</v>
      </c>
      <c r="I628" s="161">
        <f t="shared" si="106"/>
        <v>0</v>
      </c>
      <c r="J628" s="161">
        <f t="shared" si="106"/>
        <v>0</v>
      </c>
      <c r="K628" s="161">
        <f t="shared" si="106"/>
        <v>0</v>
      </c>
      <c r="L628" s="161">
        <f t="shared" si="106"/>
        <v>0</v>
      </c>
      <c r="M628" s="161">
        <f t="shared" si="106"/>
        <v>0</v>
      </c>
      <c r="N628" s="161">
        <f t="shared" si="106"/>
        <v>0</v>
      </c>
      <c r="O628" s="161">
        <f t="shared" si="106"/>
        <v>0</v>
      </c>
    </row>
    <row r="629" spans="3:15" hidden="1" outlineLevel="2">
      <c r="C629" s="73" t="str">
        <v>SpareOfferB16</v>
      </c>
      <c r="D629" s="97" t="s">
        <v>189</v>
      </c>
      <c r="F629" s="122">
        <f t="shared" si="92"/>
        <v>0</v>
      </c>
      <c r="G629" s="161">
        <f t="shared" ref="G629:O629" si="107">G473*G83</f>
        <v>0</v>
      </c>
      <c r="H629" s="161">
        <f t="shared" si="107"/>
        <v>0</v>
      </c>
      <c r="I629" s="161">
        <f t="shared" si="107"/>
        <v>0</v>
      </c>
      <c r="J629" s="161">
        <f t="shared" si="107"/>
        <v>0</v>
      </c>
      <c r="K629" s="161">
        <f t="shared" si="107"/>
        <v>0</v>
      </c>
      <c r="L629" s="161">
        <f t="shared" si="107"/>
        <v>0</v>
      </c>
      <c r="M629" s="161">
        <f t="shared" si="107"/>
        <v>0</v>
      </c>
      <c r="N629" s="161">
        <f t="shared" si="107"/>
        <v>0</v>
      </c>
      <c r="O629" s="161">
        <f t="shared" si="107"/>
        <v>0</v>
      </c>
    </row>
    <row r="630" spans="3:15" hidden="1" outlineLevel="2">
      <c r="C630" s="73" t="str">
        <v>SpareOfferB17</v>
      </c>
      <c r="D630" s="97" t="s">
        <v>189</v>
      </c>
      <c r="F630" s="122">
        <f t="shared" si="92"/>
        <v>0</v>
      </c>
      <c r="G630" s="161">
        <f t="shared" ref="G630:O630" si="108">G474*G84</f>
        <v>0</v>
      </c>
      <c r="H630" s="161">
        <f t="shared" si="108"/>
        <v>0</v>
      </c>
      <c r="I630" s="161">
        <f t="shared" si="108"/>
        <v>0</v>
      </c>
      <c r="J630" s="161">
        <f t="shared" si="108"/>
        <v>0</v>
      </c>
      <c r="K630" s="161">
        <f t="shared" si="108"/>
        <v>0</v>
      </c>
      <c r="L630" s="161">
        <f t="shared" si="108"/>
        <v>0</v>
      </c>
      <c r="M630" s="161">
        <f t="shared" si="108"/>
        <v>0</v>
      </c>
      <c r="N630" s="161">
        <f t="shared" si="108"/>
        <v>0</v>
      </c>
      <c r="O630" s="161">
        <f t="shared" si="108"/>
        <v>0</v>
      </c>
    </row>
    <row r="631" spans="3:15" hidden="1" outlineLevel="2">
      <c r="C631" s="73" t="str">
        <v>SpareOfferB18</v>
      </c>
      <c r="D631" s="97" t="s">
        <v>189</v>
      </c>
      <c r="F631" s="122">
        <f t="shared" si="92"/>
        <v>0</v>
      </c>
      <c r="G631" s="161">
        <f t="shared" ref="G631:O631" si="109">G475*G85</f>
        <v>0</v>
      </c>
      <c r="H631" s="161">
        <f t="shared" si="109"/>
        <v>0</v>
      </c>
      <c r="I631" s="161">
        <f t="shared" si="109"/>
        <v>0</v>
      </c>
      <c r="J631" s="161">
        <f t="shared" si="109"/>
        <v>0</v>
      </c>
      <c r="K631" s="161">
        <f t="shared" si="109"/>
        <v>0</v>
      </c>
      <c r="L631" s="161">
        <f t="shared" si="109"/>
        <v>0</v>
      </c>
      <c r="M631" s="161">
        <f t="shared" si="109"/>
        <v>0</v>
      </c>
      <c r="N631" s="161">
        <f t="shared" si="109"/>
        <v>0</v>
      </c>
      <c r="O631" s="161">
        <f t="shared" si="109"/>
        <v>0</v>
      </c>
    </row>
    <row r="632" spans="3:15" hidden="1" outlineLevel="2">
      <c r="C632" s="73" t="str">
        <v>SpareOfferB19</v>
      </c>
      <c r="D632" s="97" t="s">
        <v>189</v>
      </c>
      <c r="F632" s="122">
        <f t="shared" si="92"/>
        <v>0</v>
      </c>
      <c r="G632" s="161">
        <f t="shared" ref="G632:O632" si="110">G476*G86</f>
        <v>0</v>
      </c>
      <c r="H632" s="161">
        <f t="shared" si="110"/>
        <v>0</v>
      </c>
      <c r="I632" s="161">
        <f t="shared" si="110"/>
        <v>0</v>
      </c>
      <c r="J632" s="161">
        <f t="shared" si="110"/>
        <v>0</v>
      </c>
      <c r="K632" s="161">
        <f t="shared" si="110"/>
        <v>0</v>
      </c>
      <c r="L632" s="161">
        <f t="shared" si="110"/>
        <v>0</v>
      </c>
      <c r="M632" s="161">
        <f t="shared" si="110"/>
        <v>0</v>
      </c>
      <c r="N632" s="161">
        <f t="shared" si="110"/>
        <v>0</v>
      </c>
      <c r="O632" s="161">
        <f t="shared" si="110"/>
        <v>0</v>
      </c>
    </row>
    <row r="633" spans="3:15" hidden="1" outlineLevel="2">
      <c r="C633" s="73" t="str">
        <v>SpareOfferB20</v>
      </c>
      <c r="D633" s="97" t="s">
        <v>189</v>
      </c>
      <c r="F633" s="122">
        <f t="shared" si="92"/>
        <v>0</v>
      </c>
      <c r="G633" s="161">
        <f t="shared" ref="G633:O633" si="111">G477*G87</f>
        <v>0</v>
      </c>
      <c r="H633" s="161">
        <f t="shared" si="111"/>
        <v>0</v>
      </c>
      <c r="I633" s="161">
        <f t="shared" si="111"/>
        <v>0</v>
      </c>
      <c r="J633" s="161">
        <f t="shared" si="111"/>
        <v>0</v>
      </c>
      <c r="K633" s="161">
        <f t="shared" si="111"/>
        <v>0</v>
      </c>
      <c r="L633" s="161">
        <f t="shared" si="111"/>
        <v>0</v>
      </c>
      <c r="M633" s="161">
        <f t="shared" si="111"/>
        <v>0</v>
      </c>
      <c r="N633" s="161">
        <f t="shared" si="111"/>
        <v>0</v>
      </c>
      <c r="O633" s="161">
        <f t="shared" si="111"/>
        <v>0</v>
      </c>
    </row>
    <row r="634" spans="3:15" hidden="1" outlineLevel="2">
      <c r="C634" s="73" t="str">
        <v>SpareOfferB21</v>
      </c>
      <c r="D634" s="97" t="s">
        <v>189</v>
      </c>
      <c r="F634" s="122">
        <f t="shared" si="92"/>
        <v>0</v>
      </c>
      <c r="G634" s="161">
        <f t="shared" ref="G634:O634" si="112">G478*G88</f>
        <v>0</v>
      </c>
      <c r="H634" s="161">
        <f t="shared" si="112"/>
        <v>0</v>
      </c>
      <c r="I634" s="161">
        <f t="shared" si="112"/>
        <v>0</v>
      </c>
      <c r="J634" s="161">
        <f t="shared" si="112"/>
        <v>0</v>
      </c>
      <c r="K634" s="161">
        <f t="shared" si="112"/>
        <v>0</v>
      </c>
      <c r="L634" s="161">
        <f t="shared" si="112"/>
        <v>0</v>
      </c>
      <c r="M634" s="161">
        <f t="shared" si="112"/>
        <v>0</v>
      </c>
      <c r="N634" s="161">
        <f t="shared" si="112"/>
        <v>0</v>
      </c>
      <c r="O634" s="161">
        <f t="shared" si="112"/>
        <v>0</v>
      </c>
    </row>
    <row r="635" spans="3:15" hidden="1" outlineLevel="2">
      <c r="C635" s="73" t="str">
        <v>SpareOfferB22</v>
      </c>
      <c r="D635" s="97" t="s">
        <v>189</v>
      </c>
      <c r="F635" s="122">
        <f t="shared" si="92"/>
        <v>0</v>
      </c>
      <c r="G635" s="161">
        <f t="shared" ref="G635:O635" si="113">G479*G89</f>
        <v>0</v>
      </c>
      <c r="H635" s="161">
        <f t="shared" si="113"/>
        <v>0</v>
      </c>
      <c r="I635" s="161">
        <f t="shared" si="113"/>
        <v>0</v>
      </c>
      <c r="J635" s="161">
        <f t="shared" si="113"/>
        <v>0</v>
      </c>
      <c r="K635" s="161">
        <f t="shared" si="113"/>
        <v>0</v>
      </c>
      <c r="L635" s="161">
        <f t="shared" si="113"/>
        <v>0</v>
      </c>
      <c r="M635" s="161">
        <f t="shared" si="113"/>
        <v>0</v>
      </c>
      <c r="N635" s="161">
        <f t="shared" si="113"/>
        <v>0</v>
      </c>
      <c r="O635" s="161">
        <f t="shared" si="113"/>
        <v>0</v>
      </c>
    </row>
    <row r="636" spans="3:15" hidden="1" outlineLevel="2">
      <c r="C636" s="73" t="str">
        <v>SpareOfferB23</v>
      </c>
      <c r="D636" s="97" t="s">
        <v>189</v>
      </c>
      <c r="F636" s="122">
        <f t="shared" si="92"/>
        <v>0</v>
      </c>
      <c r="G636" s="161">
        <f t="shared" ref="G636:O636" si="114">G480*G90</f>
        <v>0</v>
      </c>
      <c r="H636" s="161">
        <f t="shared" si="114"/>
        <v>0</v>
      </c>
      <c r="I636" s="161">
        <f t="shared" si="114"/>
        <v>0</v>
      </c>
      <c r="J636" s="161">
        <f t="shared" si="114"/>
        <v>0</v>
      </c>
      <c r="K636" s="161">
        <f t="shared" si="114"/>
        <v>0</v>
      </c>
      <c r="L636" s="161">
        <f t="shared" si="114"/>
        <v>0</v>
      </c>
      <c r="M636" s="161">
        <f t="shared" si="114"/>
        <v>0</v>
      </c>
      <c r="N636" s="161">
        <f t="shared" si="114"/>
        <v>0</v>
      </c>
      <c r="O636" s="161">
        <f t="shared" si="114"/>
        <v>0</v>
      </c>
    </row>
    <row r="637" spans="3:15" hidden="1" outlineLevel="2">
      <c r="C637" s="73" t="str">
        <v>SpareOfferB24</v>
      </c>
      <c r="D637" s="97" t="s">
        <v>189</v>
      </c>
      <c r="F637" s="122">
        <f t="shared" si="92"/>
        <v>0</v>
      </c>
      <c r="G637" s="161">
        <f t="shared" ref="G637:O637" si="115">G481*G91</f>
        <v>0</v>
      </c>
      <c r="H637" s="161">
        <f t="shared" si="115"/>
        <v>0</v>
      </c>
      <c r="I637" s="161">
        <f t="shared" si="115"/>
        <v>0</v>
      </c>
      <c r="J637" s="161">
        <f t="shared" si="115"/>
        <v>0</v>
      </c>
      <c r="K637" s="161">
        <f t="shared" si="115"/>
        <v>0</v>
      </c>
      <c r="L637" s="161">
        <f t="shared" si="115"/>
        <v>0</v>
      </c>
      <c r="M637" s="161">
        <f t="shared" si="115"/>
        <v>0</v>
      </c>
      <c r="N637" s="161">
        <f t="shared" si="115"/>
        <v>0</v>
      </c>
      <c r="O637" s="161">
        <f t="shared" si="115"/>
        <v>0</v>
      </c>
    </row>
    <row r="638" spans="3:15" hidden="1" outlineLevel="2">
      <c r="C638" s="73" t="str">
        <v>SpareOfferB25</v>
      </c>
      <c r="D638" s="97" t="s">
        <v>189</v>
      </c>
      <c r="F638" s="122">
        <f t="shared" si="92"/>
        <v>0</v>
      </c>
      <c r="G638" s="161">
        <f t="shared" ref="G638:O638" si="116">G482*G92</f>
        <v>0</v>
      </c>
      <c r="H638" s="161">
        <f t="shared" si="116"/>
        <v>0</v>
      </c>
      <c r="I638" s="161">
        <f t="shared" si="116"/>
        <v>0</v>
      </c>
      <c r="J638" s="161">
        <f t="shared" si="116"/>
        <v>0</v>
      </c>
      <c r="K638" s="161">
        <f t="shared" si="116"/>
        <v>0</v>
      </c>
      <c r="L638" s="161">
        <f t="shared" si="116"/>
        <v>0</v>
      </c>
      <c r="M638" s="161">
        <f t="shared" si="116"/>
        <v>0</v>
      </c>
      <c r="N638" s="161">
        <f t="shared" si="116"/>
        <v>0</v>
      </c>
      <c r="O638" s="161">
        <f t="shared" si="116"/>
        <v>0</v>
      </c>
    </row>
    <row r="639" spans="3:15" hidden="1" outlineLevel="2">
      <c r="C639" s="73" t="str">
        <v>SpareOfferB26</v>
      </c>
      <c r="D639" s="97" t="s">
        <v>189</v>
      </c>
      <c r="F639" s="122">
        <f t="shared" si="92"/>
        <v>0</v>
      </c>
      <c r="G639" s="161">
        <f t="shared" ref="G639:O639" si="117">G483*G93</f>
        <v>0</v>
      </c>
      <c r="H639" s="161">
        <f t="shared" si="117"/>
        <v>0</v>
      </c>
      <c r="I639" s="161">
        <f t="shared" si="117"/>
        <v>0</v>
      </c>
      <c r="J639" s="161">
        <f t="shared" si="117"/>
        <v>0</v>
      </c>
      <c r="K639" s="161">
        <f t="shared" si="117"/>
        <v>0</v>
      </c>
      <c r="L639" s="161">
        <f t="shared" si="117"/>
        <v>0</v>
      </c>
      <c r="M639" s="161">
        <f t="shared" si="117"/>
        <v>0</v>
      </c>
      <c r="N639" s="161">
        <f t="shared" si="117"/>
        <v>0</v>
      </c>
      <c r="O639" s="161">
        <f t="shared" si="117"/>
        <v>0</v>
      </c>
    </row>
    <row r="640" spans="3:15" hidden="1" outlineLevel="2">
      <c r="C640" s="73" t="str">
        <v>SpareOfferB27</v>
      </c>
      <c r="D640" s="97" t="s">
        <v>189</v>
      </c>
      <c r="F640" s="122">
        <f t="shared" si="92"/>
        <v>0</v>
      </c>
      <c r="G640" s="161">
        <f t="shared" ref="G640:O640" si="118">G484*G94</f>
        <v>0</v>
      </c>
      <c r="H640" s="161">
        <f t="shared" si="118"/>
        <v>0</v>
      </c>
      <c r="I640" s="161">
        <f t="shared" si="118"/>
        <v>0</v>
      </c>
      <c r="J640" s="161">
        <f t="shared" si="118"/>
        <v>0</v>
      </c>
      <c r="K640" s="161">
        <f t="shared" si="118"/>
        <v>0</v>
      </c>
      <c r="L640" s="161">
        <f t="shared" si="118"/>
        <v>0</v>
      </c>
      <c r="M640" s="161">
        <f t="shared" si="118"/>
        <v>0</v>
      </c>
      <c r="N640" s="161">
        <f t="shared" si="118"/>
        <v>0</v>
      </c>
      <c r="O640" s="161">
        <f t="shared" si="118"/>
        <v>0</v>
      </c>
    </row>
    <row r="641" spans="1:21" hidden="1" outlineLevel="2">
      <c r="C641" s="73" t="str">
        <v>SpareOfferB28</v>
      </c>
      <c r="D641" s="97" t="s">
        <v>189</v>
      </c>
      <c r="F641" s="122">
        <f t="shared" si="92"/>
        <v>0</v>
      </c>
      <c r="G641" s="161">
        <f t="shared" ref="G641:O641" si="119">G485*G95</f>
        <v>0</v>
      </c>
      <c r="H641" s="161">
        <f t="shared" si="119"/>
        <v>0</v>
      </c>
      <c r="I641" s="161">
        <f t="shared" si="119"/>
        <v>0</v>
      </c>
      <c r="J641" s="161">
        <f t="shared" si="119"/>
        <v>0</v>
      </c>
      <c r="K641" s="161">
        <f t="shared" si="119"/>
        <v>0</v>
      </c>
      <c r="L641" s="161">
        <f t="shared" si="119"/>
        <v>0</v>
      </c>
      <c r="M641" s="161">
        <f t="shared" si="119"/>
        <v>0</v>
      </c>
      <c r="N641" s="161">
        <f t="shared" si="119"/>
        <v>0</v>
      </c>
      <c r="O641" s="161">
        <f t="shared" si="119"/>
        <v>0</v>
      </c>
    </row>
    <row r="642" spans="1:21" hidden="1" outlineLevel="2">
      <c r="C642" s="73" t="str">
        <v>SpareOfferB29</v>
      </c>
      <c r="D642" s="97" t="s">
        <v>189</v>
      </c>
      <c r="F642" s="122">
        <f t="shared" si="92"/>
        <v>0</v>
      </c>
      <c r="G642" s="161">
        <f t="shared" ref="G642:O642" si="120">G486*G96</f>
        <v>0</v>
      </c>
      <c r="H642" s="161">
        <f t="shared" si="120"/>
        <v>0</v>
      </c>
      <c r="I642" s="161">
        <f t="shared" si="120"/>
        <v>0</v>
      </c>
      <c r="J642" s="161">
        <f t="shared" si="120"/>
        <v>0</v>
      </c>
      <c r="K642" s="161">
        <f t="shared" si="120"/>
        <v>0</v>
      </c>
      <c r="L642" s="161">
        <f t="shared" si="120"/>
        <v>0</v>
      </c>
      <c r="M642" s="161">
        <f t="shared" si="120"/>
        <v>0</v>
      </c>
      <c r="N642" s="161">
        <f t="shared" si="120"/>
        <v>0</v>
      </c>
      <c r="O642" s="161">
        <f t="shared" si="120"/>
        <v>0</v>
      </c>
    </row>
    <row r="643" spans="1:21" hidden="1" outlineLevel="2">
      <c r="C643" s="73" t="str">
        <v>SpareOfferB30</v>
      </c>
      <c r="D643" s="97" t="s">
        <v>189</v>
      </c>
      <c r="F643" s="122">
        <f t="shared" si="92"/>
        <v>0</v>
      </c>
      <c r="G643" s="161">
        <f t="shared" ref="G643:O643" si="121">G487*G97</f>
        <v>0</v>
      </c>
      <c r="H643" s="161">
        <f t="shared" si="121"/>
        <v>0</v>
      </c>
      <c r="I643" s="161">
        <f t="shared" si="121"/>
        <v>0</v>
      </c>
      <c r="J643" s="161">
        <f t="shared" si="121"/>
        <v>0</v>
      </c>
      <c r="K643" s="161">
        <f t="shared" si="121"/>
        <v>0</v>
      </c>
      <c r="L643" s="161">
        <f t="shared" si="121"/>
        <v>0</v>
      </c>
      <c r="M643" s="161">
        <f t="shared" si="121"/>
        <v>0</v>
      </c>
      <c r="N643" s="161">
        <f t="shared" si="121"/>
        <v>0</v>
      </c>
      <c r="O643" s="161">
        <f t="shared" si="121"/>
        <v>0</v>
      </c>
    </row>
    <row r="644" spans="1:21" hidden="1" outlineLevel="2">
      <c r="C644" s="73" t="str">
        <v>SpareOfferB31</v>
      </c>
      <c r="D644" s="97" t="s">
        <v>189</v>
      </c>
      <c r="F644" s="122">
        <f t="shared" si="92"/>
        <v>0</v>
      </c>
      <c r="G644" s="161">
        <f t="shared" ref="G644:O644" si="122">G488*G98</f>
        <v>0</v>
      </c>
      <c r="H644" s="161">
        <f t="shared" si="122"/>
        <v>0</v>
      </c>
      <c r="I644" s="161">
        <f t="shared" si="122"/>
        <v>0</v>
      </c>
      <c r="J644" s="161">
        <f t="shared" si="122"/>
        <v>0</v>
      </c>
      <c r="K644" s="161">
        <f t="shared" si="122"/>
        <v>0</v>
      </c>
      <c r="L644" s="161">
        <f t="shared" si="122"/>
        <v>0</v>
      </c>
      <c r="M644" s="161">
        <f t="shared" si="122"/>
        <v>0</v>
      </c>
      <c r="N644" s="161">
        <f t="shared" si="122"/>
        <v>0</v>
      </c>
      <c r="O644" s="161">
        <f t="shared" si="122"/>
        <v>0</v>
      </c>
    </row>
    <row r="645" spans="1:21" hidden="1" outlineLevel="2">
      <c r="C645" s="73" t="str">
        <v>SpareOfferB32</v>
      </c>
      <c r="D645" s="97" t="s">
        <v>189</v>
      </c>
      <c r="F645" s="122">
        <f t="shared" si="92"/>
        <v>0</v>
      </c>
      <c r="G645" s="161">
        <f t="shared" ref="G645:O645" si="123">G489*G99</f>
        <v>0</v>
      </c>
      <c r="H645" s="161">
        <f t="shared" si="123"/>
        <v>0</v>
      </c>
      <c r="I645" s="161">
        <f t="shared" si="123"/>
        <v>0</v>
      </c>
      <c r="J645" s="161">
        <f t="shared" si="123"/>
        <v>0</v>
      </c>
      <c r="K645" s="161">
        <f t="shared" si="123"/>
        <v>0</v>
      </c>
      <c r="L645" s="161">
        <f t="shared" si="123"/>
        <v>0</v>
      </c>
      <c r="M645" s="161">
        <f t="shared" si="123"/>
        <v>0</v>
      </c>
      <c r="N645" s="161">
        <f t="shared" si="123"/>
        <v>0</v>
      </c>
      <c r="O645" s="161">
        <f t="shared" si="123"/>
        <v>0</v>
      </c>
    </row>
    <row r="646" spans="1:21" hidden="1" outlineLevel="2">
      <c r="C646" s="73" t="str">
        <v>SpareOfferB33</v>
      </c>
      <c r="D646" s="97" t="s">
        <v>189</v>
      </c>
      <c r="F646" s="122">
        <f t="shared" si="92"/>
        <v>0</v>
      </c>
      <c r="G646" s="161">
        <f t="shared" ref="G646:O646" si="124">G490*G100</f>
        <v>0</v>
      </c>
      <c r="H646" s="161">
        <f t="shared" si="124"/>
        <v>0</v>
      </c>
      <c r="I646" s="161">
        <f t="shared" si="124"/>
        <v>0</v>
      </c>
      <c r="J646" s="161">
        <f t="shared" si="124"/>
        <v>0</v>
      </c>
      <c r="K646" s="161">
        <f t="shared" si="124"/>
        <v>0</v>
      </c>
      <c r="L646" s="161">
        <f t="shared" si="124"/>
        <v>0</v>
      </c>
      <c r="M646" s="161">
        <f t="shared" si="124"/>
        <v>0</v>
      </c>
      <c r="N646" s="161">
        <f t="shared" si="124"/>
        <v>0</v>
      </c>
      <c r="O646" s="161">
        <f t="shared" si="124"/>
        <v>0</v>
      </c>
    </row>
    <row r="647" spans="1:21" hidden="1" outlineLevel="2">
      <c r="C647" s="73" t="str">
        <v>SpareOfferB34</v>
      </c>
      <c r="D647" s="97" t="s">
        <v>189</v>
      </c>
      <c r="F647" s="122">
        <f t="shared" si="92"/>
        <v>0</v>
      </c>
      <c r="G647" s="161">
        <f t="shared" ref="G647:O647" si="125">G491*G101</f>
        <v>0</v>
      </c>
      <c r="H647" s="161">
        <f t="shared" si="125"/>
        <v>0</v>
      </c>
      <c r="I647" s="161">
        <f t="shared" si="125"/>
        <v>0</v>
      </c>
      <c r="J647" s="161">
        <f t="shared" si="125"/>
        <v>0</v>
      </c>
      <c r="K647" s="161">
        <f t="shared" si="125"/>
        <v>0</v>
      </c>
      <c r="L647" s="161">
        <f t="shared" si="125"/>
        <v>0</v>
      </c>
      <c r="M647" s="161">
        <f t="shared" si="125"/>
        <v>0</v>
      </c>
      <c r="N647" s="161">
        <f t="shared" si="125"/>
        <v>0</v>
      </c>
      <c r="O647" s="161">
        <f t="shared" si="125"/>
        <v>0</v>
      </c>
    </row>
    <row r="648" spans="1:21" outlineLevel="1" collapsed="1">
      <c r="C648" s="73" t="str">
        <v>SpareOfferB35</v>
      </c>
      <c r="D648" s="97" t="s">
        <v>189</v>
      </c>
      <c r="F648" s="122">
        <f t="shared" si="92"/>
        <v>0</v>
      </c>
      <c r="G648" s="161">
        <f t="shared" ref="G648:O648" si="126">G492*G102</f>
        <v>0</v>
      </c>
      <c r="H648" s="161">
        <f t="shared" si="126"/>
        <v>0</v>
      </c>
      <c r="I648" s="161">
        <f t="shared" si="126"/>
        <v>0</v>
      </c>
      <c r="J648" s="161">
        <f t="shared" si="126"/>
        <v>0</v>
      </c>
      <c r="K648" s="161">
        <f t="shared" si="126"/>
        <v>0</v>
      </c>
      <c r="L648" s="161">
        <f t="shared" si="126"/>
        <v>0</v>
      </c>
      <c r="M648" s="161">
        <f t="shared" si="126"/>
        <v>0</v>
      </c>
      <c r="N648" s="161">
        <f t="shared" si="126"/>
        <v>0</v>
      </c>
      <c r="O648" s="161">
        <f t="shared" si="126"/>
        <v>0</v>
      </c>
    </row>
    <row r="650" spans="1:21" s="220" customFormat="1">
      <c r="A650" s="220">
        <v>3</v>
      </c>
      <c r="B650" s="221" t="str">
        <f>INDEX(segments,A650)</f>
        <v>SpareSegmentC</v>
      </c>
      <c r="C650" s="207"/>
    </row>
    <row r="651" spans="1:21" outlineLevel="1"/>
    <row r="652" spans="1:21" outlineLevel="1">
      <c r="B652" s="91" t="s">
        <v>271</v>
      </c>
    </row>
    <row r="653" spans="1:21" outlineLevel="1"/>
    <row r="654" spans="1:21" outlineLevel="1">
      <c r="C654" s="35" t="s">
        <v>513</v>
      </c>
      <c r="G654" s="165" t="s">
        <v>312</v>
      </c>
      <c r="H654" s="165"/>
      <c r="I654" s="165"/>
      <c r="J654" s="165"/>
      <c r="K654" s="165"/>
      <c r="L654" s="165"/>
      <c r="M654" s="165"/>
      <c r="O654" s="165" t="s">
        <v>313</v>
      </c>
      <c r="P654" s="165"/>
      <c r="Q654" s="165"/>
      <c r="R654" s="66"/>
      <c r="S654" s="66"/>
      <c r="T654" s="66"/>
      <c r="U654" s="66"/>
    </row>
    <row r="655" spans="1:21" ht="24" customHeight="1" outlineLevel="1">
      <c r="G655" s="165" t="str">
        <f t="array" ref="G655:M655">TRANSPOSE(voice.destination.plus.in)</f>
        <v>On-net</v>
      </c>
      <c r="H655" s="165" t="str">
        <v>Off-net fixed</v>
      </c>
      <c r="I655" s="165" t="str">
        <v>Off-net mobile</v>
      </c>
      <c r="J655" s="66" t="str">
        <v>International</v>
      </c>
      <c r="K655" s="66" t="str">
        <v>VAS</v>
      </c>
      <c r="L655" s="66" t="str">
        <v>Not used</v>
      </c>
      <c r="M655" s="165" t="str">
        <v>Termination</v>
      </c>
      <c r="O655" s="165" t="str">
        <f t="array" ref="O655:U655">TRANSPOSE(SMS.destination.plus.in)</f>
        <v>On-net</v>
      </c>
      <c r="P655" s="165" t="str">
        <v>Off-net fixed</v>
      </c>
      <c r="Q655" s="165" t="str">
        <v>Off-net mobile</v>
      </c>
      <c r="R655" s="66" t="str">
        <v>International</v>
      </c>
      <c r="S655" s="66" t="str">
        <v>Content messages: BankID</v>
      </c>
      <c r="T655" s="66" t="str">
        <v>Content messages: other</v>
      </c>
      <c r="U655" s="165" t="str">
        <v>Termination</v>
      </c>
    </row>
    <row r="656" spans="1:21" outlineLevel="1">
      <c r="C656" s="91" t="s">
        <v>89</v>
      </c>
      <c r="D656" t="s">
        <v>302</v>
      </c>
      <c r="G656" s="114">
        <f t="shared" ref="G656:M656" si="127">SUMPRODUCT(G657:G691,subscription.split.segment.3)</f>
        <v>0</v>
      </c>
      <c r="H656" s="114">
        <f t="shared" si="127"/>
        <v>0</v>
      </c>
      <c r="I656" s="114">
        <f t="shared" si="127"/>
        <v>0</v>
      </c>
      <c r="J656" s="114">
        <f t="shared" si="127"/>
        <v>0</v>
      </c>
      <c r="K656" s="114">
        <f t="shared" si="127"/>
        <v>0</v>
      </c>
      <c r="L656" s="114">
        <f t="shared" si="127"/>
        <v>0</v>
      </c>
      <c r="M656" s="114">
        <f t="shared" si="127"/>
        <v>0</v>
      </c>
      <c r="O656" s="114">
        <f t="shared" ref="O656:U656" si="128">SUMPRODUCT(O657:O691,subscription.split.segment.3)</f>
        <v>0</v>
      </c>
      <c r="P656" s="114">
        <f t="shared" si="128"/>
        <v>0</v>
      </c>
      <c r="Q656" s="114">
        <f t="shared" si="128"/>
        <v>0</v>
      </c>
      <c r="R656" s="114">
        <f t="shared" si="128"/>
        <v>0</v>
      </c>
      <c r="S656" s="114">
        <f t="shared" si="128"/>
        <v>0</v>
      </c>
      <c r="T656" s="114">
        <f t="shared" si="128"/>
        <v>0</v>
      </c>
      <c r="U656" s="114">
        <f t="shared" si="128"/>
        <v>0</v>
      </c>
    </row>
    <row r="657" spans="3:21" outlineLevel="1">
      <c r="C657" s="73" t="str">
        <f t="array" ref="C657:C691">offers.segment.3</f>
        <v>SpareOfferC1</v>
      </c>
      <c r="D657" t="s">
        <v>302</v>
      </c>
      <c r="G657" s="89">
        <f t="array" ref="G657:L691">out.split.min.per.month.segment.3</f>
        <v>0</v>
      </c>
      <c r="H657" s="89">
        <v>0</v>
      </c>
      <c r="I657" s="89">
        <v>0</v>
      </c>
      <c r="J657" s="89">
        <v>0</v>
      </c>
      <c r="K657" s="89">
        <v>0</v>
      </c>
      <c r="L657" s="89">
        <v>0</v>
      </c>
      <c r="M657" s="227">
        <f t="array" ref="M657:M691">in.min.per.month.segment.3</f>
        <v>0</v>
      </c>
      <c r="O657" s="89">
        <f t="array" ref="O657:T691">out.split.SMS.per.month.segment.3</f>
        <v>0</v>
      </c>
      <c r="P657" s="89">
        <v>0</v>
      </c>
      <c r="Q657" s="89">
        <v>0</v>
      </c>
      <c r="R657" s="89">
        <v>0</v>
      </c>
      <c r="S657" s="89">
        <v>0</v>
      </c>
      <c r="T657" s="89">
        <v>0</v>
      </c>
      <c r="U657" s="206">
        <f t="array" ref="U657:U691">in.SMS.per.month.segment.3</f>
        <v>0</v>
      </c>
    </row>
    <row r="658" spans="3:21" hidden="1" outlineLevel="2">
      <c r="C658" s="73" t="str">
        <v>SpareOfferC2</v>
      </c>
      <c r="D658" t="s">
        <v>302</v>
      </c>
      <c r="G658" s="89">
        <v>0</v>
      </c>
      <c r="H658" s="89">
        <v>0</v>
      </c>
      <c r="I658" s="89">
        <v>0</v>
      </c>
      <c r="J658" s="89">
        <v>0</v>
      </c>
      <c r="K658" s="89">
        <v>0</v>
      </c>
      <c r="L658" s="89">
        <v>0</v>
      </c>
      <c r="M658" s="227">
        <v>0</v>
      </c>
      <c r="O658" s="89">
        <v>0</v>
      </c>
      <c r="P658" s="89">
        <v>0</v>
      </c>
      <c r="Q658" s="89">
        <v>0</v>
      </c>
      <c r="R658" s="89">
        <v>0</v>
      </c>
      <c r="S658" s="89">
        <v>0</v>
      </c>
      <c r="T658" s="89">
        <v>0</v>
      </c>
      <c r="U658" s="206">
        <v>0</v>
      </c>
    </row>
    <row r="659" spans="3:21" hidden="1" outlineLevel="2">
      <c r="C659" s="73" t="str">
        <v>SpareOfferC3</v>
      </c>
      <c r="D659" t="s">
        <v>302</v>
      </c>
      <c r="G659" s="89">
        <v>0</v>
      </c>
      <c r="H659" s="89">
        <v>0</v>
      </c>
      <c r="I659" s="89">
        <v>0</v>
      </c>
      <c r="J659" s="89">
        <v>0</v>
      </c>
      <c r="K659" s="89">
        <v>0</v>
      </c>
      <c r="L659" s="89">
        <v>0</v>
      </c>
      <c r="M659" s="227">
        <v>0</v>
      </c>
      <c r="O659" s="89">
        <v>0</v>
      </c>
      <c r="P659" s="89">
        <v>0</v>
      </c>
      <c r="Q659" s="89">
        <v>0</v>
      </c>
      <c r="R659" s="89">
        <v>0</v>
      </c>
      <c r="S659" s="89">
        <v>0</v>
      </c>
      <c r="T659" s="89">
        <v>0</v>
      </c>
      <c r="U659" s="206">
        <v>0</v>
      </c>
    </row>
    <row r="660" spans="3:21" hidden="1" outlineLevel="2">
      <c r="C660" s="73" t="str">
        <v>SpareOfferC4</v>
      </c>
      <c r="D660" t="s">
        <v>302</v>
      </c>
      <c r="G660" s="89">
        <v>0</v>
      </c>
      <c r="H660" s="89">
        <v>0</v>
      </c>
      <c r="I660" s="89">
        <v>0</v>
      </c>
      <c r="J660" s="89">
        <v>0</v>
      </c>
      <c r="K660" s="89">
        <v>0</v>
      </c>
      <c r="L660" s="89">
        <v>0</v>
      </c>
      <c r="M660" s="227">
        <v>0</v>
      </c>
      <c r="O660" s="89">
        <v>0</v>
      </c>
      <c r="P660" s="89">
        <v>0</v>
      </c>
      <c r="Q660" s="89">
        <v>0</v>
      </c>
      <c r="R660" s="89">
        <v>0</v>
      </c>
      <c r="S660" s="89">
        <v>0</v>
      </c>
      <c r="T660" s="89">
        <v>0</v>
      </c>
      <c r="U660" s="206">
        <v>0</v>
      </c>
    </row>
    <row r="661" spans="3:21" hidden="1" outlineLevel="2">
      <c r="C661" s="73" t="str">
        <v>SpareOfferC5</v>
      </c>
      <c r="D661" t="s">
        <v>302</v>
      </c>
      <c r="G661" s="89">
        <v>0</v>
      </c>
      <c r="H661" s="89">
        <v>0</v>
      </c>
      <c r="I661" s="89">
        <v>0</v>
      </c>
      <c r="J661" s="89">
        <v>0</v>
      </c>
      <c r="K661" s="89">
        <v>0</v>
      </c>
      <c r="L661" s="89">
        <v>0</v>
      </c>
      <c r="M661" s="227">
        <v>0</v>
      </c>
      <c r="O661" s="89">
        <v>0</v>
      </c>
      <c r="P661" s="89">
        <v>0</v>
      </c>
      <c r="Q661" s="89">
        <v>0</v>
      </c>
      <c r="R661" s="89">
        <v>0</v>
      </c>
      <c r="S661" s="89">
        <v>0</v>
      </c>
      <c r="T661" s="89">
        <v>0</v>
      </c>
      <c r="U661" s="206">
        <v>0</v>
      </c>
    </row>
    <row r="662" spans="3:21" hidden="1" outlineLevel="2">
      <c r="C662" s="73" t="str">
        <v>SpareOfferC6</v>
      </c>
      <c r="D662" t="s">
        <v>302</v>
      </c>
      <c r="G662" s="89">
        <v>0</v>
      </c>
      <c r="H662" s="89">
        <v>0</v>
      </c>
      <c r="I662" s="89">
        <v>0</v>
      </c>
      <c r="J662" s="89">
        <v>0</v>
      </c>
      <c r="K662" s="89">
        <v>0</v>
      </c>
      <c r="L662" s="89">
        <v>0</v>
      </c>
      <c r="M662" s="227">
        <v>0</v>
      </c>
      <c r="O662" s="89">
        <v>0</v>
      </c>
      <c r="P662" s="89">
        <v>0</v>
      </c>
      <c r="Q662" s="89">
        <v>0</v>
      </c>
      <c r="R662" s="89">
        <v>0</v>
      </c>
      <c r="S662" s="89">
        <v>0</v>
      </c>
      <c r="T662" s="89">
        <v>0</v>
      </c>
      <c r="U662" s="206">
        <v>0</v>
      </c>
    </row>
    <row r="663" spans="3:21" hidden="1" outlineLevel="2">
      <c r="C663" s="73" t="str">
        <v>SpareOfferC7</v>
      </c>
      <c r="D663" t="s">
        <v>302</v>
      </c>
      <c r="G663" s="89">
        <v>0</v>
      </c>
      <c r="H663" s="89">
        <v>0</v>
      </c>
      <c r="I663" s="89">
        <v>0</v>
      </c>
      <c r="J663" s="89">
        <v>0</v>
      </c>
      <c r="K663" s="89">
        <v>0</v>
      </c>
      <c r="L663" s="89">
        <v>0</v>
      </c>
      <c r="M663" s="227">
        <v>0</v>
      </c>
      <c r="O663" s="89">
        <v>0</v>
      </c>
      <c r="P663" s="89">
        <v>0</v>
      </c>
      <c r="Q663" s="89">
        <v>0</v>
      </c>
      <c r="R663" s="89">
        <v>0</v>
      </c>
      <c r="S663" s="89">
        <v>0</v>
      </c>
      <c r="T663" s="89">
        <v>0</v>
      </c>
      <c r="U663" s="206">
        <v>0</v>
      </c>
    </row>
    <row r="664" spans="3:21" hidden="1" outlineLevel="2">
      <c r="C664" s="73" t="str">
        <v>SpareOfferC8</v>
      </c>
      <c r="D664" t="s">
        <v>302</v>
      </c>
      <c r="G664" s="89">
        <v>0</v>
      </c>
      <c r="H664" s="89">
        <v>0</v>
      </c>
      <c r="I664" s="89">
        <v>0</v>
      </c>
      <c r="J664" s="89">
        <v>0</v>
      </c>
      <c r="K664" s="89">
        <v>0</v>
      </c>
      <c r="L664" s="89">
        <v>0</v>
      </c>
      <c r="M664" s="227">
        <v>0</v>
      </c>
      <c r="O664" s="89">
        <v>0</v>
      </c>
      <c r="P664" s="89">
        <v>0</v>
      </c>
      <c r="Q664" s="89">
        <v>0</v>
      </c>
      <c r="R664" s="89">
        <v>0</v>
      </c>
      <c r="S664" s="89">
        <v>0</v>
      </c>
      <c r="T664" s="89">
        <v>0</v>
      </c>
      <c r="U664" s="206">
        <v>0</v>
      </c>
    </row>
    <row r="665" spans="3:21" hidden="1" outlineLevel="2">
      <c r="C665" s="73" t="str">
        <v>SpareOfferC9</v>
      </c>
      <c r="D665" t="s">
        <v>302</v>
      </c>
      <c r="G665" s="89">
        <v>0</v>
      </c>
      <c r="H665" s="89">
        <v>0</v>
      </c>
      <c r="I665" s="89">
        <v>0</v>
      </c>
      <c r="J665" s="89">
        <v>0</v>
      </c>
      <c r="K665" s="89">
        <v>0</v>
      </c>
      <c r="L665" s="89">
        <v>0</v>
      </c>
      <c r="M665" s="227">
        <v>0</v>
      </c>
      <c r="O665" s="89">
        <v>0</v>
      </c>
      <c r="P665" s="89">
        <v>0</v>
      </c>
      <c r="Q665" s="89">
        <v>0</v>
      </c>
      <c r="R665" s="89">
        <v>0</v>
      </c>
      <c r="S665" s="89">
        <v>0</v>
      </c>
      <c r="T665" s="89">
        <v>0</v>
      </c>
      <c r="U665" s="206">
        <v>0</v>
      </c>
    </row>
    <row r="666" spans="3:21" hidden="1" outlineLevel="2">
      <c r="C666" s="73" t="str">
        <v>SpareOfferC10</v>
      </c>
      <c r="D666" t="s">
        <v>302</v>
      </c>
      <c r="G666" s="89">
        <v>0</v>
      </c>
      <c r="H666" s="89">
        <v>0</v>
      </c>
      <c r="I666" s="89">
        <v>0</v>
      </c>
      <c r="J666" s="89">
        <v>0</v>
      </c>
      <c r="K666" s="89">
        <v>0</v>
      </c>
      <c r="L666" s="89">
        <v>0</v>
      </c>
      <c r="M666" s="227">
        <v>0</v>
      </c>
      <c r="O666" s="89">
        <v>0</v>
      </c>
      <c r="P666" s="89">
        <v>0</v>
      </c>
      <c r="Q666" s="89">
        <v>0</v>
      </c>
      <c r="R666" s="89">
        <v>0</v>
      </c>
      <c r="S666" s="89">
        <v>0</v>
      </c>
      <c r="T666" s="89">
        <v>0</v>
      </c>
      <c r="U666" s="206">
        <v>0</v>
      </c>
    </row>
    <row r="667" spans="3:21" hidden="1" outlineLevel="2">
      <c r="C667" s="73" t="str">
        <v>SpareOfferC11</v>
      </c>
      <c r="D667" t="s">
        <v>302</v>
      </c>
      <c r="G667" s="89">
        <v>0</v>
      </c>
      <c r="H667" s="89">
        <v>0</v>
      </c>
      <c r="I667" s="89">
        <v>0</v>
      </c>
      <c r="J667" s="89">
        <v>0</v>
      </c>
      <c r="K667" s="89">
        <v>0</v>
      </c>
      <c r="L667" s="89">
        <v>0</v>
      </c>
      <c r="M667" s="227">
        <v>0</v>
      </c>
      <c r="O667" s="89">
        <v>0</v>
      </c>
      <c r="P667" s="89">
        <v>0</v>
      </c>
      <c r="Q667" s="89">
        <v>0</v>
      </c>
      <c r="R667" s="89">
        <v>0</v>
      </c>
      <c r="S667" s="89">
        <v>0</v>
      </c>
      <c r="T667" s="89">
        <v>0</v>
      </c>
      <c r="U667" s="206">
        <v>0</v>
      </c>
    </row>
    <row r="668" spans="3:21" hidden="1" outlineLevel="2">
      <c r="C668" s="73" t="str">
        <v>SpareOfferC12</v>
      </c>
      <c r="D668" t="s">
        <v>302</v>
      </c>
      <c r="G668" s="89">
        <v>0</v>
      </c>
      <c r="H668" s="89">
        <v>0</v>
      </c>
      <c r="I668" s="89">
        <v>0</v>
      </c>
      <c r="J668" s="89">
        <v>0</v>
      </c>
      <c r="K668" s="89">
        <v>0</v>
      </c>
      <c r="L668" s="89">
        <v>0</v>
      </c>
      <c r="M668" s="227">
        <v>0</v>
      </c>
      <c r="O668" s="89">
        <v>0</v>
      </c>
      <c r="P668" s="89">
        <v>0</v>
      </c>
      <c r="Q668" s="89">
        <v>0</v>
      </c>
      <c r="R668" s="89">
        <v>0</v>
      </c>
      <c r="S668" s="89">
        <v>0</v>
      </c>
      <c r="T668" s="89">
        <v>0</v>
      </c>
      <c r="U668" s="206">
        <v>0</v>
      </c>
    </row>
    <row r="669" spans="3:21" hidden="1" outlineLevel="2">
      <c r="C669" s="73" t="str">
        <v>SpareOfferC13</v>
      </c>
      <c r="D669" t="s">
        <v>302</v>
      </c>
      <c r="G669" s="89">
        <v>0</v>
      </c>
      <c r="H669" s="89">
        <v>0</v>
      </c>
      <c r="I669" s="89">
        <v>0</v>
      </c>
      <c r="J669" s="89">
        <v>0</v>
      </c>
      <c r="K669" s="89">
        <v>0</v>
      </c>
      <c r="L669" s="89">
        <v>0</v>
      </c>
      <c r="M669" s="227">
        <v>0</v>
      </c>
      <c r="O669" s="89">
        <v>0</v>
      </c>
      <c r="P669" s="89">
        <v>0</v>
      </c>
      <c r="Q669" s="89">
        <v>0</v>
      </c>
      <c r="R669" s="89">
        <v>0</v>
      </c>
      <c r="S669" s="89">
        <v>0</v>
      </c>
      <c r="T669" s="89">
        <v>0</v>
      </c>
      <c r="U669" s="206">
        <v>0</v>
      </c>
    </row>
    <row r="670" spans="3:21" hidden="1" outlineLevel="2">
      <c r="C670" s="73" t="str">
        <v>SpareOfferC14</v>
      </c>
      <c r="D670" t="s">
        <v>302</v>
      </c>
      <c r="G670" s="89">
        <v>0</v>
      </c>
      <c r="H670" s="89">
        <v>0</v>
      </c>
      <c r="I670" s="89">
        <v>0</v>
      </c>
      <c r="J670" s="89">
        <v>0</v>
      </c>
      <c r="K670" s="89">
        <v>0</v>
      </c>
      <c r="L670" s="89">
        <v>0</v>
      </c>
      <c r="M670" s="227">
        <v>0</v>
      </c>
      <c r="O670" s="89">
        <v>0</v>
      </c>
      <c r="P670" s="89">
        <v>0</v>
      </c>
      <c r="Q670" s="89">
        <v>0</v>
      </c>
      <c r="R670" s="89">
        <v>0</v>
      </c>
      <c r="S670" s="89">
        <v>0</v>
      </c>
      <c r="T670" s="89">
        <v>0</v>
      </c>
      <c r="U670" s="206">
        <v>0</v>
      </c>
    </row>
    <row r="671" spans="3:21" hidden="1" outlineLevel="2">
      <c r="C671" s="73" t="str">
        <v>SpareOfferC15</v>
      </c>
      <c r="D671" t="s">
        <v>302</v>
      </c>
      <c r="G671" s="89">
        <v>0</v>
      </c>
      <c r="H671" s="89">
        <v>0</v>
      </c>
      <c r="I671" s="89">
        <v>0</v>
      </c>
      <c r="J671" s="89">
        <v>0</v>
      </c>
      <c r="K671" s="89">
        <v>0</v>
      </c>
      <c r="L671" s="89">
        <v>0</v>
      </c>
      <c r="M671" s="227">
        <v>0</v>
      </c>
      <c r="O671" s="89">
        <v>0</v>
      </c>
      <c r="P671" s="89">
        <v>0</v>
      </c>
      <c r="Q671" s="89">
        <v>0</v>
      </c>
      <c r="R671" s="89">
        <v>0</v>
      </c>
      <c r="S671" s="89">
        <v>0</v>
      </c>
      <c r="T671" s="89">
        <v>0</v>
      </c>
      <c r="U671" s="206">
        <v>0</v>
      </c>
    </row>
    <row r="672" spans="3:21" hidden="1" outlineLevel="2">
      <c r="C672" s="73" t="str">
        <v>SpareOfferC16</v>
      </c>
      <c r="D672" t="s">
        <v>302</v>
      </c>
      <c r="G672" s="89">
        <v>0</v>
      </c>
      <c r="H672" s="89">
        <v>0</v>
      </c>
      <c r="I672" s="89">
        <v>0</v>
      </c>
      <c r="J672" s="89">
        <v>0</v>
      </c>
      <c r="K672" s="89">
        <v>0</v>
      </c>
      <c r="L672" s="89">
        <v>0</v>
      </c>
      <c r="M672" s="227">
        <v>0</v>
      </c>
      <c r="O672" s="89">
        <v>0</v>
      </c>
      <c r="P672" s="89">
        <v>0</v>
      </c>
      <c r="Q672" s="89">
        <v>0</v>
      </c>
      <c r="R672" s="89">
        <v>0</v>
      </c>
      <c r="S672" s="89">
        <v>0</v>
      </c>
      <c r="T672" s="89">
        <v>0</v>
      </c>
      <c r="U672" s="206">
        <v>0</v>
      </c>
    </row>
    <row r="673" spans="3:21" hidden="1" outlineLevel="2">
      <c r="C673" s="73" t="str">
        <v>SpareOfferC17</v>
      </c>
      <c r="D673" t="s">
        <v>302</v>
      </c>
      <c r="G673" s="89">
        <v>0</v>
      </c>
      <c r="H673" s="89">
        <v>0</v>
      </c>
      <c r="I673" s="89">
        <v>0</v>
      </c>
      <c r="J673" s="89">
        <v>0</v>
      </c>
      <c r="K673" s="89">
        <v>0</v>
      </c>
      <c r="L673" s="89">
        <v>0</v>
      </c>
      <c r="M673" s="227">
        <v>0</v>
      </c>
      <c r="O673" s="89">
        <v>0</v>
      </c>
      <c r="P673" s="89">
        <v>0</v>
      </c>
      <c r="Q673" s="89">
        <v>0</v>
      </c>
      <c r="R673" s="89">
        <v>0</v>
      </c>
      <c r="S673" s="89">
        <v>0</v>
      </c>
      <c r="T673" s="89">
        <v>0</v>
      </c>
      <c r="U673" s="206">
        <v>0</v>
      </c>
    </row>
    <row r="674" spans="3:21" hidden="1" outlineLevel="2">
      <c r="C674" s="73" t="str">
        <v>SpareOfferC18</v>
      </c>
      <c r="D674" t="s">
        <v>302</v>
      </c>
      <c r="G674" s="89">
        <v>0</v>
      </c>
      <c r="H674" s="89">
        <v>0</v>
      </c>
      <c r="I674" s="89">
        <v>0</v>
      </c>
      <c r="J674" s="89">
        <v>0</v>
      </c>
      <c r="K674" s="89">
        <v>0</v>
      </c>
      <c r="L674" s="89">
        <v>0</v>
      </c>
      <c r="M674" s="227">
        <v>0</v>
      </c>
      <c r="O674" s="89">
        <v>0</v>
      </c>
      <c r="P674" s="89">
        <v>0</v>
      </c>
      <c r="Q674" s="89">
        <v>0</v>
      </c>
      <c r="R674" s="89">
        <v>0</v>
      </c>
      <c r="S674" s="89">
        <v>0</v>
      </c>
      <c r="T674" s="89">
        <v>0</v>
      </c>
      <c r="U674" s="206">
        <v>0</v>
      </c>
    </row>
    <row r="675" spans="3:21" hidden="1" outlineLevel="2">
      <c r="C675" s="73" t="str">
        <v>SpareOfferC19</v>
      </c>
      <c r="D675" t="s">
        <v>302</v>
      </c>
      <c r="G675" s="89">
        <v>0</v>
      </c>
      <c r="H675" s="89">
        <v>0</v>
      </c>
      <c r="I675" s="89">
        <v>0</v>
      </c>
      <c r="J675" s="89">
        <v>0</v>
      </c>
      <c r="K675" s="89">
        <v>0</v>
      </c>
      <c r="L675" s="89">
        <v>0</v>
      </c>
      <c r="M675" s="227">
        <v>0</v>
      </c>
      <c r="O675" s="89">
        <v>0</v>
      </c>
      <c r="P675" s="89">
        <v>0</v>
      </c>
      <c r="Q675" s="89">
        <v>0</v>
      </c>
      <c r="R675" s="89">
        <v>0</v>
      </c>
      <c r="S675" s="89">
        <v>0</v>
      </c>
      <c r="T675" s="89">
        <v>0</v>
      </c>
      <c r="U675" s="206">
        <v>0</v>
      </c>
    </row>
    <row r="676" spans="3:21" hidden="1" outlineLevel="2">
      <c r="C676" s="73" t="str">
        <v>SpareOfferC20</v>
      </c>
      <c r="D676" t="s">
        <v>302</v>
      </c>
      <c r="G676" s="89">
        <v>0</v>
      </c>
      <c r="H676" s="89">
        <v>0</v>
      </c>
      <c r="I676" s="89">
        <v>0</v>
      </c>
      <c r="J676" s="89">
        <v>0</v>
      </c>
      <c r="K676" s="89">
        <v>0</v>
      </c>
      <c r="L676" s="89">
        <v>0</v>
      </c>
      <c r="M676" s="227">
        <v>0</v>
      </c>
      <c r="O676" s="89">
        <v>0</v>
      </c>
      <c r="P676" s="89">
        <v>0</v>
      </c>
      <c r="Q676" s="89">
        <v>0</v>
      </c>
      <c r="R676" s="89">
        <v>0</v>
      </c>
      <c r="S676" s="89">
        <v>0</v>
      </c>
      <c r="T676" s="89">
        <v>0</v>
      </c>
      <c r="U676" s="206">
        <v>0</v>
      </c>
    </row>
    <row r="677" spans="3:21" hidden="1" outlineLevel="2">
      <c r="C677" s="73" t="str">
        <v>SpareOfferC21</v>
      </c>
      <c r="D677" t="s">
        <v>302</v>
      </c>
      <c r="G677" s="89">
        <v>0</v>
      </c>
      <c r="H677" s="89">
        <v>0</v>
      </c>
      <c r="I677" s="89">
        <v>0</v>
      </c>
      <c r="J677" s="89">
        <v>0</v>
      </c>
      <c r="K677" s="89">
        <v>0</v>
      </c>
      <c r="L677" s="89">
        <v>0</v>
      </c>
      <c r="M677" s="227">
        <v>0</v>
      </c>
      <c r="O677" s="89">
        <v>0</v>
      </c>
      <c r="P677" s="89">
        <v>0</v>
      </c>
      <c r="Q677" s="89">
        <v>0</v>
      </c>
      <c r="R677" s="89">
        <v>0</v>
      </c>
      <c r="S677" s="89">
        <v>0</v>
      </c>
      <c r="T677" s="89">
        <v>0</v>
      </c>
      <c r="U677" s="206">
        <v>0</v>
      </c>
    </row>
    <row r="678" spans="3:21" hidden="1" outlineLevel="2">
      <c r="C678" s="73" t="str">
        <v>SpareOfferC22</v>
      </c>
      <c r="D678" t="s">
        <v>302</v>
      </c>
      <c r="G678" s="89">
        <v>0</v>
      </c>
      <c r="H678" s="89">
        <v>0</v>
      </c>
      <c r="I678" s="89">
        <v>0</v>
      </c>
      <c r="J678" s="89">
        <v>0</v>
      </c>
      <c r="K678" s="89">
        <v>0</v>
      </c>
      <c r="L678" s="89">
        <v>0</v>
      </c>
      <c r="M678" s="227">
        <v>0</v>
      </c>
      <c r="O678" s="89">
        <v>0</v>
      </c>
      <c r="P678" s="89">
        <v>0</v>
      </c>
      <c r="Q678" s="89">
        <v>0</v>
      </c>
      <c r="R678" s="89">
        <v>0</v>
      </c>
      <c r="S678" s="89">
        <v>0</v>
      </c>
      <c r="T678" s="89">
        <v>0</v>
      </c>
      <c r="U678" s="206">
        <v>0</v>
      </c>
    </row>
    <row r="679" spans="3:21" hidden="1" outlineLevel="2">
      <c r="C679" s="73" t="str">
        <v>SpareOfferC23</v>
      </c>
      <c r="D679" t="s">
        <v>302</v>
      </c>
      <c r="G679" s="89">
        <v>0</v>
      </c>
      <c r="H679" s="89">
        <v>0</v>
      </c>
      <c r="I679" s="89">
        <v>0</v>
      </c>
      <c r="J679" s="89">
        <v>0</v>
      </c>
      <c r="K679" s="89">
        <v>0</v>
      </c>
      <c r="L679" s="89">
        <v>0</v>
      </c>
      <c r="M679" s="227">
        <v>0</v>
      </c>
      <c r="O679" s="89">
        <v>0</v>
      </c>
      <c r="P679" s="89">
        <v>0</v>
      </c>
      <c r="Q679" s="89">
        <v>0</v>
      </c>
      <c r="R679" s="89">
        <v>0</v>
      </c>
      <c r="S679" s="89">
        <v>0</v>
      </c>
      <c r="T679" s="89">
        <v>0</v>
      </c>
      <c r="U679" s="206">
        <v>0</v>
      </c>
    </row>
    <row r="680" spans="3:21" hidden="1" outlineLevel="2">
      <c r="C680" s="73" t="str">
        <v>SpareOfferC24</v>
      </c>
      <c r="D680" t="s">
        <v>302</v>
      </c>
      <c r="G680" s="89">
        <v>0</v>
      </c>
      <c r="H680" s="89">
        <v>0</v>
      </c>
      <c r="I680" s="89">
        <v>0</v>
      </c>
      <c r="J680" s="89">
        <v>0</v>
      </c>
      <c r="K680" s="89">
        <v>0</v>
      </c>
      <c r="L680" s="89">
        <v>0</v>
      </c>
      <c r="M680" s="227">
        <v>0</v>
      </c>
      <c r="O680" s="89">
        <v>0</v>
      </c>
      <c r="P680" s="89">
        <v>0</v>
      </c>
      <c r="Q680" s="89">
        <v>0</v>
      </c>
      <c r="R680" s="89">
        <v>0</v>
      </c>
      <c r="S680" s="89">
        <v>0</v>
      </c>
      <c r="T680" s="89">
        <v>0</v>
      </c>
      <c r="U680" s="206">
        <v>0</v>
      </c>
    </row>
    <row r="681" spans="3:21" hidden="1" outlineLevel="2">
      <c r="C681" s="73" t="str">
        <v>SpareOfferC25</v>
      </c>
      <c r="D681" t="s">
        <v>302</v>
      </c>
      <c r="G681" s="89">
        <v>0</v>
      </c>
      <c r="H681" s="89">
        <v>0</v>
      </c>
      <c r="I681" s="89">
        <v>0</v>
      </c>
      <c r="J681" s="89">
        <v>0</v>
      </c>
      <c r="K681" s="89">
        <v>0</v>
      </c>
      <c r="L681" s="89">
        <v>0</v>
      </c>
      <c r="M681" s="227">
        <v>0</v>
      </c>
      <c r="O681" s="89">
        <v>0</v>
      </c>
      <c r="P681" s="89">
        <v>0</v>
      </c>
      <c r="Q681" s="89">
        <v>0</v>
      </c>
      <c r="R681" s="89">
        <v>0</v>
      </c>
      <c r="S681" s="89">
        <v>0</v>
      </c>
      <c r="T681" s="89">
        <v>0</v>
      </c>
      <c r="U681" s="206">
        <v>0</v>
      </c>
    </row>
    <row r="682" spans="3:21" hidden="1" outlineLevel="2">
      <c r="C682" s="73" t="str">
        <v>SpareOfferC26</v>
      </c>
      <c r="D682" t="s">
        <v>302</v>
      </c>
      <c r="G682" s="89">
        <v>0</v>
      </c>
      <c r="H682" s="89">
        <v>0</v>
      </c>
      <c r="I682" s="89">
        <v>0</v>
      </c>
      <c r="J682" s="89">
        <v>0</v>
      </c>
      <c r="K682" s="89">
        <v>0</v>
      </c>
      <c r="L682" s="89">
        <v>0</v>
      </c>
      <c r="M682" s="227">
        <v>0</v>
      </c>
      <c r="O682" s="89">
        <v>0</v>
      </c>
      <c r="P682" s="89">
        <v>0</v>
      </c>
      <c r="Q682" s="89">
        <v>0</v>
      </c>
      <c r="R682" s="89">
        <v>0</v>
      </c>
      <c r="S682" s="89">
        <v>0</v>
      </c>
      <c r="T682" s="89">
        <v>0</v>
      </c>
      <c r="U682" s="206">
        <v>0</v>
      </c>
    </row>
    <row r="683" spans="3:21" hidden="1" outlineLevel="2">
      <c r="C683" s="73" t="str">
        <v>SpareOfferC27</v>
      </c>
      <c r="D683" t="s">
        <v>302</v>
      </c>
      <c r="G683" s="89">
        <v>0</v>
      </c>
      <c r="H683" s="89">
        <v>0</v>
      </c>
      <c r="I683" s="89">
        <v>0</v>
      </c>
      <c r="J683" s="89">
        <v>0</v>
      </c>
      <c r="K683" s="89">
        <v>0</v>
      </c>
      <c r="L683" s="89">
        <v>0</v>
      </c>
      <c r="M683" s="227">
        <v>0</v>
      </c>
      <c r="O683" s="89">
        <v>0</v>
      </c>
      <c r="P683" s="89">
        <v>0</v>
      </c>
      <c r="Q683" s="89">
        <v>0</v>
      </c>
      <c r="R683" s="89">
        <v>0</v>
      </c>
      <c r="S683" s="89">
        <v>0</v>
      </c>
      <c r="T683" s="89">
        <v>0</v>
      </c>
      <c r="U683" s="206">
        <v>0</v>
      </c>
    </row>
    <row r="684" spans="3:21" hidden="1" outlineLevel="2">
      <c r="C684" s="73" t="str">
        <v>SpareOfferC28</v>
      </c>
      <c r="D684" t="s">
        <v>302</v>
      </c>
      <c r="G684" s="89">
        <v>0</v>
      </c>
      <c r="H684" s="89">
        <v>0</v>
      </c>
      <c r="I684" s="89">
        <v>0</v>
      </c>
      <c r="J684" s="89">
        <v>0</v>
      </c>
      <c r="K684" s="89">
        <v>0</v>
      </c>
      <c r="L684" s="89">
        <v>0</v>
      </c>
      <c r="M684" s="227">
        <v>0</v>
      </c>
      <c r="O684" s="89">
        <v>0</v>
      </c>
      <c r="P684" s="89">
        <v>0</v>
      </c>
      <c r="Q684" s="89">
        <v>0</v>
      </c>
      <c r="R684" s="89">
        <v>0</v>
      </c>
      <c r="S684" s="89">
        <v>0</v>
      </c>
      <c r="T684" s="89">
        <v>0</v>
      </c>
      <c r="U684" s="206">
        <v>0</v>
      </c>
    </row>
    <row r="685" spans="3:21" hidden="1" outlineLevel="2">
      <c r="C685" s="73" t="str">
        <v>SpareOfferC29</v>
      </c>
      <c r="D685" t="s">
        <v>302</v>
      </c>
      <c r="G685" s="89">
        <v>0</v>
      </c>
      <c r="H685" s="89">
        <v>0</v>
      </c>
      <c r="I685" s="89">
        <v>0</v>
      </c>
      <c r="J685" s="89">
        <v>0</v>
      </c>
      <c r="K685" s="89">
        <v>0</v>
      </c>
      <c r="L685" s="89">
        <v>0</v>
      </c>
      <c r="M685" s="227">
        <v>0</v>
      </c>
      <c r="O685" s="89">
        <v>0</v>
      </c>
      <c r="P685" s="89">
        <v>0</v>
      </c>
      <c r="Q685" s="89">
        <v>0</v>
      </c>
      <c r="R685" s="89">
        <v>0</v>
      </c>
      <c r="S685" s="89">
        <v>0</v>
      </c>
      <c r="T685" s="89">
        <v>0</v>
      </c>
      <c r="U685" s="206">
        <v>0</v>
      </c>
    </row>
    <row r="686" spans="3:21" hidden="1" outlineLevel="2">
      <c r="C686" s="73" t="str">
        <v>SpareOfferC30</v>
      </c>
      <c r="D686" t="s">
        <v>302</v>
      </c>
      <c r="G686" s="89">
        <v>0</v>
      </c>
      <c r="H686" s="89">
        <v>0</v>
      </c>
      <c r="I686" s="89">
        <v>0</v>
      </c>
      <c r="J686" s="89">
        <v>0</v>
      </c>
      <c r="K686" s="89">
        <v>0</v>
      </c>
      <c r="L686" s="89">
        <v>0</v>
      </c>
      <c r="M686" s="227">
        <v>0</v>
      </c>
      <c r="O686" s="89">
        <v>0</v>
      </c>
      <c r="P686" s="89">
        <v>0</v>
      </c>
      <c r="Q686" s="89">
        <v>0</v>
      </c>
      <c r="R686" s="89">
        <v>0</v>
      </c>
      <c r="S686" s="89">
        <v>0</v>
      </c>
      <c r="T686" s="89">
        <v>0</v>
      </c>
      <c r="U686" s="206">
        <v>0</v>
      </c>
    </row>
    <row r="687" spans="3:21" hidden="1" outlineLevel="2">
      <c r="C687" s="73" t="str">
        <v>SpareOfferC31</v>
      </c>
      <c r="D687" t="s">
        <v>302</v>
      </c>
      <c r="G687" s="89">
        <v>0</v>
      </c>
      <c r="H687" s="89">
        <v>0</v>
      </c>
      <c r="I687" s="89">
        <v>0</v>
      </c>
      <c r="J687" s="89">
        <v>0</v>
      </c>
      <c r="K687" s="89">
        <v>0</v>
      </c>
      <c r="L687" s="89">
        <v>0</v>
      </c>
      <c r="M687" s="227">
        <v>0</v>
      </c>
      <c r="O687" s="89">
        <v>0</v>
      </c>
      <c r="P687" s="89">
        <v>0</v>
      </c>
      <c r="Q687" s="89">
        <v>0</v>
      </c>
      <c r="R687" s="89">
        <v>0</v>
      </c>
      <c r="S687" s="89">
        <v>0</v>
      </c>
      <c r="T687" s="89">
        <v>0</v>
      </c>
      <c r="U687" s="206">
        <v>0</v>
      </c>
    </row>
    <row r="688" spans="3:21" hidden="1" outlineLevel="2">
      <c r="C688" s="73" t="str">
        <v>SpareOfferC32</v>
      </c>
      <c r="D688" t="s">
        <v>302</v>
      </c>
      <c r="G688" s="89">
        <v>0</v>
      </c>
      <c r="H688" s="89">
        <v>0</v>
      </c>
      <c r="I688" s="89">
        <v>0</v>
      </c>
      <c r="J688" s="89">
        <v>0</v>
      </c>
      <c r="K688" s="89">
        <v>0</v>
      </c>
      <c r="L688" s="89">
        <v>0</v>
      </c>
      <c r="M688" s="227">
        <v>0</v>
      </c>
      <c r="O688" s="89">
        <v>0</v>
      </c>
      <c r="P688" s="89">
        <v>0</v>
      </c>
      <c r="Q688" s="89">
        <v>0</v>
      </c>
      <c r="R688" s="89">
        <v>0</v>
      </c>
      <c r="S688" s="89">
        <v>0</v>
      </c>
      <c r="T688" s="89">
        <v>0</v>
      </c>
      <c r="U688" s="206">
        <v>0</v>
      </c>
    </row>
    <row r="689" spans="2:21" hidden="1" outlineLevel="2">
      <c r="C689" s="73" t="str">
        <v>SpareOfferC33</v>
      </c>
      <c r="D689" t="s">
        <v>302</v>
      </c>
      <c r="G689" s="89">
        <v>0</v>
      </c>
      <c r="H689" s="89">
        <v>0</v>
      </c>
      <c r="I689" s="89">
        <v>0</v>
      </c>
      <c r="J689" s="89">
        <v>0</v>
      </c>
      <c r="K689" s="89">
        <v>0</v>
      </c>
      <c r="L689" s="89">
        <v>0</v>
      </c>
      <c r="M689" s="227">
        <v>0</v>
      </c>
      <c r="O689" s="89">
        <v>0</v>
      </c>
      <c r="P689" s="89">
        <v>0</v>
      </c>
      <c r="Q689" s="89">
        <v>0</v>
      </c>
      <c r="R689" s="89">
        <v>0</v>
      </c>
      <c r="S689" s="89">
        <v>0</v>
      </c>
      <c r="T689" s="89">
        <v>0</v>
      </c>
      <c r="U689" s="206">
        <v>0</v>
      </c>
    </row>
    <row r="690" spans="2:21" hidden="1" outlineLevel="2">
      <c r="C690" s="73" t="str">
        <v>SpareOfferC34</v>
      </c>
      <c r="D690" t="s">
        <v>302</v>
      </c>
      <c r="G690" s="89">
        <v>0</v>
      </c>
      <c r="H690" s="89">
        <v>0</v>
      </c>
      <c r="I690" s="89">
        <v>0</v>
      </c>
      <c r="J690" s="89">
        <v>0</v>
      </c>
      <c r="K690" s="89">
        <v>0</v>
      </c>
      <c r="L690" s="89">
        <v>0</v>
      </c>
      <c r="M690" s="227">
        <v>0</v>
      </c>
      <c r="O690" s="89">
        <v>0</v>
      </c>
      <c r="P690" s="89">
        <v>0</v>
      </c>
      <c r="Q690" s="89">
        <v>0</v>
      </c>
      <c r="R690" s="89">
        <v>0</v>
      </c>
      <c r="S690" s="89">
        <v>0</v>
      </c>
      <c r="T690" s="89">
        <v>0</v>
      </c>
      <c r="U690" s="206">
        <v>0</v>
      </c>
    </row>
    <row r="691" spans="2:21" outlineLevel="1" collapsed="1">
      <c r="C691" s="73" t="str">
        <v>SpareOfferC35</v>
      </c>
      <c r="D691" t="s">
        <v>302</v>
      </c>
      <c r="G691" s="89">
        <v>0</v>
      </c>
      <c r="H691" s="89">
        <v>0</v>
      </c>
      <c r="I691" s="89">
        <v>0</v>
      </c>
      <c r="J691" s="89">
        <v>0</v>
      </c>
      <c r="K691" s="89">
        <v>0</v>
      </c>
      <c r="L691" s="89">
        <v>0</v>
      </c>
      <c r="M691" s="227">
        <v>0</v>
      </c>
      <c r="O691" s="89">
        <v>0</v>
      </c>
      <c r="P691" s="89">
        <v>0</v>
      </c>
      <c r="Q691" s="89">
        <v>0</v>
      </c>
      <c r="R691" s="89">
        <v>0</v>
      </c>
      <c r="S691" s="89">
        <v>0</v>
      </c>
      <c r="T691" s="89">
        <v>0</v>
      </c>
      <c r="U691" s="206">
        <v>0</v>
      </c>
    </row>
    <row r="692" spans="2:21" outlineLevel="1"/>
    <row r="693" spans="2:21" outlineLevel="1">
      <c r="G693">
        <f t="shared" ref="G693:O693" si="129">MATCH(G694,wholesale.data.tiers,0)</f>
        <v>1</v>
      </c>
      <c r="H693">
        <f t="shared" si="129"/>
        <v>2</v>
      </c>
      <c r="I693">
        <f t="shared" si="129"/>
        <v>3</v>
      </c>
      <c r="J693">
        <f t="shared" si="129"/>
        <v>4</v>
      </c>
      <c r="K693">
        <f t="shared" si="129"/>
        <v>5</v>
      </c>
      <c r="L693">
        <f t="shared" si="129"/>
        <v>6</v>
      </c>
      <c r="M693">
        <f t="shared" si="129"/>
        <v>7</v>
      </c>
      <c r="N693">
        <f t="shared" si="129"/>
        <v>8</v>
      </c>
      <c r="O693">
        <f t="shared" si="129"/>
        <v>9</v>
      </c>
    </row>
    <row r="694" spans="2:21" ht="23" outlineLevel="1">
      <c r="C694" s="35" t="s">
        <v>303</v>
      </c>
      <c r="F694" s="112" t="s">
        <v>89</v>
      </c>
      <c r="G694" s="95" t="str">
        <f t="array" ref="G694:O694">TRANSPOSE(wholesale.data.tiers)</f>
        <v>W/S spare tier 1</v>
      </c>
      <c r="H694" s="95" t="str">
        <v>W/S spare tier 2</v>
      </c>
      <c r="I694" s="95" t="str">
        <v>W/S spare tier 3</v>
      </c>
      <c r="J694" s="95" t="str">
        <v>W/S spare tier 4</v>
      </c>
      <c r="K694" s="95" t="str">
        <v>W/S spare tier 5</v>
      </c>
      <c r="L694" s="95" t="str">
        <v>W/S spare tier 6</v>
      </c>
      <c r="M694" s="95" t="str">
        <v>W/S spare tier 7</v>
      </c>
      <c r="N694" s="95" t="str">
        <v>W/S spare tier 8</v>
      </c>
      <c r="O694" s="95" t="str">
        <v>W/S spare tier 9</v>
      </c>
    </row>
    <row r="695" spans="2:21" outlineLevel="1">
      <c r="C695" s="91" t="s">
        <v>89</v>
      </c>
      <c r="D695" t="s">
        <v>304</v>
      </c>
      <c r="F695" s="114">
        <f>SUMPRODUCT(F696:F730,subscription.split.segment.3)</f>
        <v>0</v>
      </c>
      <c r="G695" s="114">
        <f t="shared" ref="G695:O695" si="130">SUMPRODUCT(G696:G730,subscription.split.segment.3)</f>
        <v>0</v>
      </c>
      <c r="H695" s="114">
        <f t="shared" si="130"/>
        <v>0</v>
      </c>
      <c r="I695" s="114">
        <f t="shared" si="130"/>
        <v>0</v>
      </c>
      <c r="J695" s="114">
        <f t="shared" si="130"/>
        <v>0</v>
      </c>
      <c r="K695" s="114">
        <f t="shared" si="130"/>
        <v>0</v>
      </c>
      <c r="L695" s="114">
        <f t="shared" si="130"/>
        <v>0</v>
      </c>
      <c r="M695" s="114">
        <f t="shared" si="130"/>
        <v>0</v>
      </c>
      <c r="N695" s="114">
        <f t="shared" si="130"/>
        <v>0</v>
      </c>
      <c r="O695" s="114">
        <f t="shared" si="130"/>
        <v>0</v>
      </c>
    </row>
    <row r="696" spans="2:21" outlineLevel="1">
      <c r="B696">
        <f t="shared" ref="B696:B730" si="131">MATCH(C696,offers.segment.all,0)</f>
        <v>71</v>
      </c>
      <c r="C696" s="73" t="str">
        <f t="array" ref="C696:C730">offers.segment.3</f>
        <v>SpareOfferC1</v>
      </c>
      <c r="D696" t="s">
        <v>304</v>
      </c>
      <c r="F696" s="89">
        <f t="array" ref="F696:F730">data.per.month.segment.3</f>
        <v>0</v>
      </c>
      <c r="G696" s="124">
        <f t="shared" ref="G696:O705" si="132">INDEX(distribution.data.wholesale.tier,$B696,G$693)*$F696</f>
        <v>0</v>
      </c>
      <c r="H696" s="124">
        <f t="shared" si="132"/>
        <v>0</v>
      </c>
      <c r="I696" s="124">
        <f t="shared" si="132"/>
        <v>0</v>
      </c>
      <c r="J696" s="124">
        <f t="shared" si="132"/>
        <v>0</v>
      </c>
      <c r="K696" s="124">
        <f t="shared" si="132"/>
        <v>0</v>
      </c>
      <c r="L696" s="124">
        <f t="shared" si="132"/>
        <v>0</v>
      </c>
      <c r="M696" s="124">
        <f t="shared" si="132"/>
        <v>0</v>
      </c>
      <c r="N696" s="124">
        <f t="shared" si="132"/>
        <v>0</v>
      </c>
      <c r="O696" s="124">
        <f t="shared" si="132"/>
        <v>0</v>
      </c>
    </row>
    <row r="697" spans="2:21" hidden="1" outlineLevel="2">
      <c r="B697">
        <f t="shared" si="131"/>
        <v>72</v>
      </c>
      <c r="C697" s="73" t="str">
        <v>SpareOfferC2</v>
      </c>
      <c r="D697" t="s">
        <v>304</v>
      </c>
      <c r="F697" s="89">
        <v>0</v>
      </c>
      <c r="G697" s="124">
        <f t="shared" si="132"/>
        <v>0</v>
      </c>
      <c r="H697" s="124">
        <f t="shared" si="132"/>
        <v>0</v>
      </c>
      <c r="I697" s="124">
        <f t="shared" si="132"/>
        <v>0</v>
      </c>
      <c r="J697" s="124">
        <f t="shared" si="132"/>
        <v>0</v>
      </c>
      <c r="K697" s="124">
        <f t="shared" si="132"/>
        <v>0</v>
      </c>
      <c r="L697" s="124">
        <f t="shared" si="132"/>
        <v>0</v>
      </c>
      <c r="M697" s="124">
        <f t="shared" si="132"/>
        <v>0</v>
      </c>
      <c r="N697" s="124">
        <f t="shared" si="132"/>
        <v>0</v>
      </c>
      <c r="O697" s="124">
        <f t="shared" si="132"/>
        <v>0</v>
      </c>
    </row>
    <row r="698" spans="2:21" hidden="1" outlineLevel="2">
      <c r="B698">
        <f t="shared" si="131"/>
        <v>73</v>
      </c>
      <c r="C698" s="73" t="str">
        <v>SpareOfferC3</v>
      </c>
      <c r="D698" t="s">
        <v>304</v>
      </c>
      <c r="F698" s="89">
        <v>0</v>
      </c>
      <c r="G698" s="124">
        <f t="shared" si="132"/>
        <v>0</v>
      </c>
      <c r="H698" s="124">
        <f t="shared" si="132"/>
        <v>0</v>
      </c>
      <c r="I698" s="124">
        <f t="shared" si="132"/>
        <v>0</v>
      </c>
      <c r="J698" s="124">
        <f t="shared" si="132"/>
        <v>0</v>
      </c>
      <c r="K698" s="124">
        <f t="shared" si="132"/>
        <v>0</v>
      </c>
      <c r="L698" s="124">
        <f t="shared" si="132"/>
        <v>0</v>
      </c>
      <c r="M698" s="124">
        <f t="shared" si="132"/>
        <v>0</v>
      </c>
      <c r="N698" s="124">
        <f t="shared" si="132"/>
        <v>0</v>
      </c>
      <c r="O698" s="124">
        <f t="shared" si="132"/>
        <v>0</v>
      </c>
    </row>
    <row r="699" spans="2:21" hidden="1" outlineLevel="2">
      <c r="B699">
        <f t="shared" si="131"/>
        <v>74</v>
      </c>
      <c r="C699" s="73" t="str">
        <v>SpareOfferC4</v>
      </c>
      <c r="D699" t="s">
        <v>304</v>
      </c>
      <c r="F699" s="89">
        <v>0</v>
      </c>
      <c r="G699" s="124">
        <f t="shared" si="132"/>
        <v>0</v>
      </c>
      <c r="H699" s="124">
        <f t="shared" si="132"/>
        <v>0</v>
      </c>
      <c r="I699" s="124">
        <f t="shared" si="132"/>
        <v>0</v>
      </c>
      <c r="J699" s="124">
        <f t="shared" si="132"/>
        <v>0</v>
      </c>
      <c r="K699" s="124">
        <f t="shared" si="132"/>
        <v>0</v>
      </c>
      <c r="L699" s="124">
        <f t="shared" si="132"/>
        <v>0</v>
      </c>
      <c r="M699" s="124">
        <f t="shared" si="132"/>
        <v>0</v>
      </c>
      <c r="N699" s="124">
        <f t="shared" si="132"/>
        <v>0</v>
      </c>
      <c r="O699" s="124">
        <f t="shared" si="132"/>
        <v>0</v>
      </c>
    </row>
    <row r="700" spans="2:21" hidden="1" outlineLevel="2">
      <c r="B700">
        <f t="shared" si="131"/>
        <v>75</v>
      </c>
      <c r="C700" s="73" t="str">
        <v>SpareOfferC5</v>
      </c>
      <c r="D700" t="s">
        <v>304</v>
      </c>
      <c r="F700" s="89">
        <v>0</v>
      </c>
      <c r="G700" s="124">
        <f t="shared" si="132"/>
        <v>0</v>
      </c>
      <c r="H700" s="124">
        <f t="shared" si="132"/>
        <v>0</v>
      </c>
      <c r="I700" s="124">
        <f t="shared" si="132"/>
        <v>0</v>
      </c>
      <c r="J700" s="124">
        <f t="shared" si="132"/>
        <v>0</v>
      </c>
      <c r="K700" s="124">
        <f t="shared" si="132"/>
        <v>0</v>
      </c>
      <c r="L700" s="124">
        <f t="shared" si="132"/>
        <v>0</v>
      </c>
      <c r="M700" s="124">
        <f t="shared" si="132"/>
        <v>0</v>
      </c>
      <c r="N700" s="124">
        <f t="shared" si="132"/>
        <v>0</v>
      </c>
      <c r="O700" s="124">
        <f t="shared" si="132"/>
        <v>0</v>
      </c>
    </row>
    <row r="701" spans="2:21" hidden="1" outlineLevel="2">
      <c r="B701">
        <f t="shared" si="131"/>
        <v>76</v>
      </c>
      <c r="C701" s="73" t="str">
        <v>SpareOfferC6</v>
      </c>
      <c r="D701" t="s">
        <v>304</v>
      </c>
      <c r="F701" s="89">
        <v>0</v>
      </c>
      <c r="G701" s="124">
        <f t="shared" si="132"/>
        <v>0</v>
      </c>
      <c r="H701" s="124">
        <f t="shared" si="132"/>
        <v>0</v>
      </c>
      <c r="I701" s="124">
        <f t="shared" si="132"/>
        <v>0</v>
      </c>
      <c r="J701" s="124">
        <f t="shared" si="132"/>
        <v>0</v>
      </c>
      <c r="K701" s="124">
        <f t="shared" si="132"/>
        <v>0</v>
      </c>
      <c r="L701" s="124">
        <f t="shared" si="132"/>
        <v>0</v>
      </c>
      <c r="M701" s="124">
        <f t="shared" si="132"/>
        <v>0</v>
      </c>
      <c r="N701" s="124">
        <f t="shared" si="132"/>
        <v>0</v>
      </c>
      <c r="O701" s="124">
        <f t="shared" si="132"/>
        <v>0</v>
      </c>
    </row>
    <row r="702" spans="2:21" hidden="1" outlineLevel="2">
      <c r="B702">
        <f t="shared" si="131"/>
        <v>77</v>
      </c>
      <c r="C702" s="73" t="str">
        <v>SpareOfferC7</v>
      </c>
      <c r="D702" t="s">
        <v>304</v>
      </c>
      <c r="F702" s="89">
        <v>0</v>
      </c>
      <c r="G702" s="124">
        <f t="shared" si="132"/>
        <v>0</v>
      </c>
      <c r="H702" s="124">
        <f t="shared" si="132"/>
        <v>0</v>
      </c>
      <c r="I702" s="124">
        <f t="shared" si="132"/>
        <v>0</v>
      </c>
      <c r="J702" s="124">
        <f t="shared" si="132"/>
        <v>0</v>
      </c>
      <c r="K702" s="124">
        <f t="shared" si="132"/>
        <v>0</v>
      </c>
      <c r="L702" s="124">
        <f t="shared" si="132"/>
        <v>0</v>
      </c>
      <c r="M702" s="124">
        <f t="shared" si="132"/>
        <v>0</v>
      </c>
      <c r="N702" s="124">
        <f t="shared" si="132"/>
        <v>0</v>
      </c>
      <c r="O702" s="124">
        <f t="shared" si="132"/>
        <v>0</v>
      </c>
    </row>
    <row r="703" spans="2:21" hidden="1" outlineLevel="2">
      <c r="B703">
        <f t="shared" si="131"/>
        <v>78</v>
      </c>
      <c r="C703" s="73" t="str">
        <v>SpareOfferC8</v>
      </c>
      <c r="D703" t="s">
        <v>304</v>
      </c>
      <c r="F703" s="89">
        <v>0</v>
      </c>
      <c r="G703" s="124">
        <f t="shared" si="132"/>
        <v>0</v>
      </c>
      <c r="H703" s="124">
        <f t="shared" si="132"/>
        <v>0</v>
      </c>
      <c r="I703" s="124">
        <f t="shared" si="132"/>
        <v>0</v>
      </c>
      <c r="J703" s="124">
        <f t="shared" si="132"/>
        <v>0</v>
      </c>
      <c r="K703" s="124">
        <f t="shared" si="132"/>
        <v>0</v>
      </c>
      <c r="L703" s="124">
        <f t="shared" si="132"/>
        <v>0</v>
      </c>
      <c r="M703" s="124">
        <f t="shared" si="132"/>
        <v>0</v>
      </c>
      <c r="N703" s="124">
        <f t="shared" si="132"/>
        <v>0</v>
      </c>
      <c r="O703" s="124">
        <f t="shared" si="132"/>
        <v>0</v>
      </c>
    </row>
    <row r="704" spans="2:21" hidden="1" outlineLevel="2">
      <c r="B704">
        <f t="shared" si="131"/>
        <v>79</v>
      </c>
      <c r="C704" s="73" t="str">
        <v>SpareOfferC9</v>
      </c>
      <c r="D704" t="s">
        <v>304</v>
      </c>
      <c r="F704" s="89">
        <v>0</v>
      </c>
      <c r="G704" s="124">
        <f t="shared" si="132"/>
        <v>0</v>
      </c>
      <c r="H704" s="124">
        <f t="shared" si="132"/>
        <v>0</v>
      </c>
      <c r="I704" s="124">
        <f t="shared" si="132"/>
        <v>0</v>
      </c>
      <c r="J704" s="124">
        <f t="shared" si="132"/>
        <v>0</v>
      </c>
      <c r="K704" s="124">
        <f t="shared" si="132"/>
        <v>0</v>
      </c>
      <c r="L704" s="124">
        <f t="shared" si="132"/>
        <v>0</v>
      </c>
      <c r="M704" s="124">
        <f t="shared" si="132"/>
        <v>0</v>
      </c>
      <c r="N704" s="124">
        <f t="shared" si="132"/>
        <v>0</v>
      </c>
      <c r="O704" s="124">
        <f t="shared" si="132"/>
        <v>0</v>
      </c>
    </row>
    <row r="705" spans="2:15" hidden="1" outlineLevel="2">
      <c r="B705">
        <f t="shared" si="131"/>
        <v>80</v>
      </c>
      <c r="C705" s="73" t="str">
        <v>SpareOfferC10</v>
      </c>
      <c r="D705" t="s">
        <v>304</v>
      </c>
      <c r="F705" s="89">
        <v>0</v>
      </c>
      <c r="G705" s="124">
        <f t="shared" si="132"/>
        <v>0</v>
      </c>
      <c r="H705" s="124">
        <f t="shared" si="132"/>
        <v>0</v>
      </c>
      <c r="I705" s="124">
        <f t="shared" si="132"/>
        <v>0</v>
      </c>
      <c r="J705" s="124">
        <f t="shared" si="132"/>
        <v>0</v>
      </c>
      <c r="K705" s="124">
        <f t="shared" si="132"/>
        <v>0</v>
      </c>
      <c r="L705" s="124">
        <f t="shared" si="132"/>
        <v>0</v>
      </c>
      <c r="M705" s="124">
        <f t="shared" si="132"/>
        <v>0</v>
      </c>
      <c r="N705" s="124">
        <f t="shared" si="132"/>
        <v>0</v>
      </c>
      <c r="O705" s="124">
        <f t="shared" si="132"/>
        <v>0</v>
      </c>
    </row>
    <row r="706" spans="2:15" hidden="1" outlineLevel="2">
      <c r="B706">
        <f t="shared" si="131"/>
        <v>81</v>
      </c>
      <c r="C706" s="73" t="str">
        <v>SpareOfferC11</v>
      </c>
      <c r="D706" t="s">
        <v>304</v>
      </c>
      <c r="F706" s="89">
        <v>0</v>
      </c>
      <c r="G706" s="124">
        <f t="shared" ref="G706:O715" si="133">INDEX(distribution.data.wholesale.tier,$B706,G$693)*$F706</f>
        <v>0</v>
      </c>
      <c r="H706" s="124">
        <f t="shared" si="133"/>
        <v>0</v>
      </c>
      <c r="I706" s="124">
        <f t="shared" si="133"/>
        <v>0</v>
      </c>
      <c r="J706" s="124">
        <f t="shared" si="133"/>
        <v>0</v>
      </c>
      <c r="K706" s="124">
        <f t="shared" si="133"/>
        <v>0</v>
      </c>
      <c r="L706" s="124">
        <f t="shared" si="133"/>
        <v>0</v>
      </c>
      <c r="M706" s="124">
        <f t="shared" si="133"/>
        <v>0</v>
      </c>
      <c r="N706" s="124">
        <f t="shared" si="133"/>
        <v>0</v>
      </c>
      <c r="O706" s="124">
        <f t="shared" si="133"/>
        <v>0</v>
      </c>
    </row>
    <row r="707" spans="2:15" hidden="1" outlineLevel="2">
      <c r="B707">
        <f t="shared" si="131"/>
        <v>82</v>
      </c>
      <c r="C707" s="73" t="str">
        <v>SpareOfferC12</v>
      </c>
      <c r="D707" t="s">
        <v>304</v>
      </c>
      <c r="F707" s="89">
        <v>0</v>
      </c>
      <c r="G707" s="124">
        <f t="shared" si="133"/>
        <v>0</v>
      </c>
      <c r="H707" s="124">
        <f t="shared" si="133"/>
        <v>0</v>
      </c>
      <c r="I707" s="124">
        <f t="shared" si="133"/>
        <v>0</v>
      </c>
      <c r="J707" s="124">
        <f t="shared" si="133"/>
        <v>0</v>
      </c>
      <c r="K707" s="124">
        <f t="shared" si="133"/>
        <v>0</v>
      </c>
      <c r="L707" s="124">
        <f t="shared" si="133"/>
        <v>0</v>
      </c>
      <c r="M707" s="124">
        <f t="shared" si="133"/>
        <v>0</v>
      </c>
      <c r="N707" s="124">
        <f t="shared" si="133"/>
        <v>0</v>
      </c>
      <c r="O707" s="124">
        <f t="shared" si="133"/>
        <v>0</v>
      </c>
    </row>
    <row r="708" spans="2:15" hidden="1" outlineLevel="2">
      <c r="B708">
        <f t="shared" si="131"/>
        <v>83</v>
      </c>
      <c r="C708" s="73" t="str">
        <v>SpareOfferC13</v>
      </c>
      <c r="D708" t="s">
        <v>304</v>
      </c>
      <c r="F708" s="89">
        <v>0</v>
      </c>
      <c r="G708" s="124">
        <f t="shared" si="133"/>
        <v>0</v>
      </c>
      <c r="H708" s="124">
        <f t="shared" si="133"/>
        <v>0</v>
      </c>
      <c r="I708" s="124">
        <f t="shared" si="133"/>
        <v>0</v>
      </c>
      <c r="J708" s="124">
        <f t="shared" si="133"/>
        <v>0</v>
      </c>
      <c r="K708" s="124">
        <f t="shared" si="133"/>
        <v>0</v>
      </c>
      <c r="L708" s="124">
        <f t="shared" si="133"/>
        <v>0</v>
      </c>
      <c r="M708" s="124">
        <f t="shared" si="133"/>
        <v>0</v>
      </c>
      <c r="N708" s="124">
        <f t="shared" si="133"/>
        <v>0</v>
      </c>
      <c r="O708" s="124">
        <f t="shared" si="133"/>
        <v>0</v>
      </c>
    </row>
    <row r="709" spans="2:15" hidden="1" outlineLevel="2">
      <c r="B709">
        <f t="shared" si="131"/>
        <v>84</v>
      </c>
      <c r="C709" s="73" t="str">
        <v>SpareOfferC14</v>
      </c>
      <c r="D709" t="s">
        <v>304</v>
      </c>
      <c r="F709" s="89">
        <v>0</v>
      </c>
      <c r="G709" s="124">
        <f t="shared" si="133"/>
        <v>0</v>
      </c>
      <c r="H709" s="124">
        <f t="shared" si="133"/>
        <v>0</v>
      </c>
      <c r="I709" s="124">
        <f t="shared" si="133"/>
        <v>0</v>
      </c>
      <c r="J709" s="124">
        <f t="shared" si="133"/>
        <v>0</v>
      </c>
      <c r="K709" s="124">
        <f t="shared" si="133"/>
        <v>0</v>
      </c>
      <c r="L709" s="124">
        <f t="shared" si="133"/>
        <v>0</v>
      </c>
      <c r="M709" s="124">
        <f t="shared" si="133"/>
        <v>0</v>
      </c>
      <c r="N709" s="124">
        <f t="shared" si="133"/>
        <v>0</v>
      </c>
      <c r="O709" s="124">
        <f t="shared" si="133"/>
        <v>0</v>
      </c>
    </row>
    <row r="710" spans="2:15" hidden="1" outlineLevel="2">
      <c r="B710">
        <f t="shared" si="131"/>
        <v>85</v>
      </c>
      <c r="C710" s="73" t="str">
        <v>SpareOfferC15</v>
      </c>
      <c r="D710" t="s">
        <v>304</v>
      </c>
      <c r="F710" s="89">
        <v>0</v>
      </c>
      <c r="G710" s="124">
        <f t="shared" si="133"/>
        <v>0</v>
      </c>
      <c r="H710" s="124">
        <f t="shared" si="133"/>
        <v>0</v>
      </c>
      <c r="I710" s="124">
        <f t="shared" si="133"/>
        <v>0</v>
      </c>
      <c r="J710" s="124">
        <f t="shared" si="133"/>
        <v>0</v>
      </c>
      <c r="K710" s="124">
        <f t="shared" si="133"/>
        <v>0</v>
      </c>
      <c r="L710" s="124">
        <f t="shared" si="133"/>
        <v>0</v>
      </c>
      <c r="M710" s="124">
        <f t="shared" si="133"/>
        <v>0</v>
      </c>
      <c r="N710" s="124">
        <f t="shared" si="133"/>
        <v>0</v>
      </c>
      <c r="O710" s="124">
        <f t="shared" si="133"/>
        <v>0</v>
      </c>
    </row>
    <row r="711" spans="2:15" hidden="1" outlineLevel="2">
      <c r="B711">
        <f t="shared" si="131"/>
        <v>86</v>
      </c>
      <c r="C711" s="73" t="str">
        <v>SpareOfferC16</v>
      </c>
      <c r="D711" t="s">
        <v>304</v>
      </c>
      <c r="F711" s="89">
        <v>0</v>
      </c>
      <c r="G711" s="124">
        <f t="shared" si="133"/>
        <v>0</v>
      </c>
      <c r="H711" s="124">
        <f t="shared" si="133"/>
        <v>0</v>
      </c>
      <c r="I711" s="124">
        <f t="shared" si="133"/>
        <v>0</v>
      </c>
      <c r="J711" s="124">
        <f t="shared" si="133"/>
        <v>0</v>
      </c>
      <c r="K711" s="124">
        <f t="shared" si="133"/>
        <v>0</v>
      </c>
      <c r="L711" s="124">
        <f t="shared" si="133"/>
        <v>0</v>
      </c>
      <c r="M711" s="124">
        <f t="shared" si="133"/>
        <v>0</v>
      </c>
      <c r="N711" s="124">
        <f t="shared" si="133"/>
        <v>0</v>
      </c>
      <c r="O711" s="124">
        <f t="shared" si="133"/>
        <v>0</v>
      </c>
    </row>
    <row r="712" spans="2:15" hidden="1" outlineLevel="2">
      <c r="B712">
        <f t="shared" si="131"/>
        <v>87</v>
      </c>
      <c r="C712" s="73" t="str">
        <v>SpareOfferC17</v>
      </c>
      <c r="D712" t="s">
        <v>304</v>
      </c>
      <c r="F712" s="89">
        <v>0</v>
      </c>
      <c r="G712" s="124">
        <f t="shared" si="133"/>
        <v>0</v>
      </c>
      <c r="H712" s="124">
        <f t="shared" si="133"/>
        <v>0</v>
      </c>
      <c r="I712" s="124">
        <f t="shared" si="133"/>
        <v>0</v>
      </c>
      <c r="J712" s="124">
        <f t="shared" si="133"/>
        <v>0</v>
      </c>
      <c r="K712" s="124">
        <f t="shared" si="133"/>
        <v>0</v>
      </c>
      <c r="L712" s="124">
        <f t="shared" si="133"/>
        <v>0</v>
      </c>
      <c r="M712" s="124">
        <f t="shared" si="133"/>
        <v>0</v>
      </c>
      <c r="N712" s="124">
        <f t="shared" si="133"/>
        <v>0</v>
      </c>
      <c r="O712" s="124">
        <f t="shared" si="133"/>
        <v>0</v>
      </c>
    </row>
    <row r="713" spans="2:15" hidden="1" outlineLevel="2">
      <c r="B713">
        <f t="shared" si="131"/>
        <v>88</v>
      </c>
      <c r="C713" s="73" t="str">
        <v>SpareOfferC18</v>
      </c>
      <c r="D713" t="s">
        <v>304</v>
      </c>
      <c r="F713" s="89">
        <v>0</v>
      </c>
      <c r="G713" s="124">
        <f t="shared" si="133"/>
        <v>0</v>
      </c>
      <c r="H713" s="124">
        <f t="shared" si="133"/>
        <v>0</v>
      </c>
      <c r="I713" s="124">
        <f t="shared" si="133"/>
        <v>0</v>
      </c>
      <c r="J713" s="124">
        <f t="shared" si="133"/>
        <v>0</v>
      </c>
      <c r="K713" s="124">
        <f t="shared" si="133"/>
        <v>0</v>
      </c>
      <c r="L713" s="124">
        <f t="shared" si="133"/>
        <v>0</v>
      </c>
      <c r="M713" s="124">
        <f t="shared" si="133"/>
        <v>0</v>
      </c>
      <c r="N713" s="124">
        <f t="shared" si="133"/>
        <v>0</v>
      </c>
      <c r="O713" s="124">
        <f t="shared" si="133"/>
        <v>0</v>
      </c>
    </row>
    <row r="714" spans="2:15" hidden="1" outlineLevel="2">
      <c r="B714">
        <f t="shared" si="131"/>
        <v>89</v>
      </c>
      <c r="C714" s="73" t="str">
        <v>SpareOfferC19</v>
      </c>
      <c r="D714" t="s">
        <v>304</v>
      </c>
      <c r="F714" s="89">
        <v>0</v>
      </c>
      <c r="G714" s="124">
        <f t="shared" si="133"/>
        <v>0</v>
      </c>
      <c r="H714" s="124">
        <f t="shared" si="133"/>
        <v>0</v>
      </c>
      <c r="I714" s="124">
        <f t="shared" si="133"/>
        <v>0</v>
      </c>
      <c r="J714" s="124">
        <f t="shared" si="133"/>
        <v>0</v>
      </c>
      <c r="K714" s="124">
        <f t="shared" si="133"/>
        <v>0</v>
      </c>
      <c r="L714" s="124">
        <f t="shared" si="133"/>
        <v>0</v>
      </c>
      <c r="M714" s="124">
        <f t="shared" si="133"/>
        <v>0</v>
      </c>
      <c r="N714" s="124">
        <f t="shared" si="133"/>
        <v>0</v>
      </c>
      <c r="O714" s="124">
        <f t="shared" si="133"/>
        <v>0</v>
      </c>
    </row>
    <row r="715" spans="2:15" hidden="1" outlineLevel="2">
      <c r="B715">
        <f t="shared" si="131"/>
        <v>90</v>
      </c>
      <c r="C715" s="73" t="str">
        <v>SpareOfferC20</v>
      </c>
      <c r="D715" t="s">
        <v>304</v>
      </c>
      <c r="F715" s="89">
        <v>0</v>
      </c>
      <c r="G715" s="124">
        <f t="shared" si="133"/>
        <v>0</v>
      </c>
      <c r="H715" s="124">
        <f t="shared" si="133"/>
        <v>0</v>
      </c>
      <c r="I715" s="124">
        <f t="shared" si="133"/>
        <v>0</v>
      </c>
      <c r="J715" s="124">
        <f t="shared" si="133"/>
        <v>0</v>
      </c>
      <c r="K715" s="124">
        <f t="shared" si="133"/>
        <v>0</v>
      </c>
      <c r="L715" s="124">
        <f t="shared" si="133"/>
        <v>0</v>
      </c>
      <c r="M715" s="124">
        <f t="shared" si="133"/>
        <v>0</v>
      </c>
      <c r="N715" s="124">
        <f t="shared" si="133"/>
        <v>0</v>
      </c>
      <c r="O715" s="124">
        <f t="shared" si="133"/>
        <v>0</v>
      </c>
    </row>
    <row r="716" spans="2:15" hidden="1" outlineLevel="2">
      <c r="B716">
        <f t="shared" si="131"/>
        <v>91</v>
      </c>
      <c r="C716" s="73" t="str">
        <v>SpareOfferC21</v>
      </c>
      <c r="D716" t="s">
        <v>304</v>
      </c>
      <c r="F716" s="89">
        <v>0</v>
      </c>
      <c r="G716" s="124">
        <f t="shared" ref="G716:O730" si="134">INDEX(distribution.data.wholesale.tier,$B716,G$693)*$F716</f>
        <v>0</v>
      </c>
      <c r="H716" s="124">
        <f t="shared" si="134"/>
        <v>0</v>
      </c>
      <c r="I716" s="124">
        <f t="shared" si="134"/>
        <v>0</v>
      </c>
      <c r="J716" s="124">
        <f t="shared" si="134"/>
        <v>0</v>
      </c>
      <c r="K716" s="124">
        <f t="shared" si="134"/>
        <v>0</v>
      </c>
      <c r="L716" s="124">
        <f t="shared" si="134"/>
        <v>0</v>
      </c>
      <c r="M716" s="124">
        <f t="shared" si="134"/>
        <v>0</v>
      </c>
      <c r="N716" s="124">
        <f t="shared" si="134"/>
        <v>0</v>
      </c>
      <c r="O716" s="124">
        <f t="shared" si="134"/>
        <v>0</v>
      </c>
    </row>
    <row r="717" spans="2:15" hidden="1" outlineLevel="2">
      <c r="B717">
        <f t="shared" si="131"/>
        <v>92</v>
      </c>
      <c r="C717" s="73" t="str">
        <v>SpareOfferC22</v>
      </c>
      <c r="D717" t="s">
        <v>304</v>
      </c>
      <c r="F717" s="89">
        <v>0</v>
      </c>
      <c r="G717" s="124">
        <f t="shared" si="134"/>
        <v>0</v>
      </c>
      <c r="H717" s="124">
        <f t="shared" si="134"/>
        <v>0</v>
      </c>
      <c r="I717" s="124">
        <f t="shared" si="134"/>
        <v>0</v>
      </c>
      <c r="J717" s="124">
        <f t="shared" si="134"/>
        <v>0</v>
      </c>
      <c r="K717" s="124">
        <f t="shared" si="134"/>
        <v>0</v>
      </c>
      <c r="L717" s="124">
        <f t="shared" si="134"/>
        <v>0</v>
      </c>
      <c r="M717" s="124">
        <f t="shared" si="134"/>
        <v>0</v>
      </c>
      <c r="N717" s="124">
        <f t="shared" si="134"/>
        <v>0</v>
      </c>
      <c r="O717" s="124">
        <f t="shared" si="134"/>
        <v>0</v>
      </c>
    </row>
    <row r="718" spans="2:15" hidden="1" outlineLevel="2">
      <c r="B718">
        <f t="shared" si="131"/>
        <v>93</v>
      </c>
      <c r="C718" s="73" t="str">
        <v>SpareOfferC23</v>
      </c>
      <c r="D718" t="s">
        <v>304</v>
      </c>
      <c r="F718" s="89">
        <v>0</v>
      </c>
      <c r="G718" s="124">
        <f t="shared" si="134"/>
        <v>0</v>
      </c>
      <c r="H718" s="124">
        <f t="shared" si="134"/>
        <v>0</v>
      </c>
      <c r="I718" s="124">
        <f t="shared" si="134"/>
        <v>0</v>
      </c>
      <c r="J718" s="124">
        <f t="shared" si="134"/>
        <v>0</v>
      </c>
      <c r="K718" s="124">
        <f t="shared" si="134"/>
        <v>0</v>
      </c>
      <c r="L718" s="124">
        <f t="shared" si="134"/>
        <v>0</v>
      </c>
      <c r="M718" s="124">
        <f t="shared" si="134"/>
        <v>0</v>
      </c>
      <c r="N718" s="124">
        <f t="shared" si="134"/>
        <v>0</v>
      </c>
      <c r="O718" s="124">
        <f t="shared" si="134"/>
        <v>0</v>
      </c>
    </row>
    <row r="719" spans="2:15" hidden="1" outlineLevel="2">
      <c r="B719">
        <f t="shared" si="131"/>
        <v>94</v>
      </c>
      <c r="C719" s="73" t="str">
        <v>SpareOfferC24</v>
      </c>
      <c r="D719" t="s">
        <v>304</v>
      </c>
      <c r="F719" s="89">
        <v>0</v>
      </c>
      <c r="G719" s="124">
        <f t="shared" si="134"/>
        <v>0</v>
      </c>
      <c r="H719" s="124">
        <f t="shared" si="134"/>
        <v>0</v>
      </c>
      <c r="I719" s="124">
        <f t="shared" si="134"/>
        <v>0</v>
      </c>
      <c r="J719" s="124">
        <f t="shared" si="134"/>
        <v>0</v>
      </c>
      <c r="K719" s="124">
        <f t="shared" si="134"/>
        <v>0</v>
      </c>
      <c r="L719" s="124">
        <f t="shared" si="134"/>
        <v>0</v>
      </c>
      <c r="M719" s="124">
        <f t="shared" si="134"/>
        <v>0</v>
      </c>
      <c r="N719" s="124">
        <f t="shared" si="134"/>
        <v>0</v>
      </c>
      <c r="O719" s="124">
        <f t="shared" si="134"/>
        <v>0</v>
      </c>
    </row>
    <row r="720" spans="2:15" hidden="1" outlineLevel="2">
      <c r="B720">
        <f t="shared" si="131"/>
        <v>95</v>
      </c>
      <c r="C720" s="73" t="str">
        <v>SpareOfferC25</v>
      </c>
      <c r="D720" t="s">
        <v>304</v>
      </c>
      <c r="F720" s="89">
        <v>0</v>
      </c>
      <c r="G720" s="124">
        <f t="shared" si="134"/>
        <v>0</v>
      </c>
      <c r="H720" s="124">
        <f t="shared" si="134"/>
        <v>0</v>
      </c>
      <c r="I720" s="124">
        <f t="shared" si="134"/>
        <v>0</v>
      </c>
      <c r="J720" s="124">
        <f t="shared" si="134"/>
        <v>0</v>
      </c>
      <c r="K720" s="124">
        <f t="shared" si="134"/>
        <v>0</v>
      </c>
      <c r="L720" s="124">
        <f t="shared" si="134"/>
        <v>0</v>
      </c>
      <c r="M720" s="124">
        <f t="shared" si="134"/>
        <v>0</v>
      </c>
      <c r="N720" s="124">
        <f t="shared" si="134"/>
        <v>0</v>
      </c>
      <c r="O720" s="124">
        <f t="shared" si="134"/>
        <v>0</v>
      </c>
    </row>
    <row r="721" spans="2:15" hidden="1" outlineLevel="2">
      <c r="B721">
        <f t="shared" si="131"/>
        <v>96</v>
      </c>
      <c r="C721" s="73" t="str">
        <v>SpareOfferC26</v>
      </c>
      <c r="D721" t="s">
        <v>304</v>
      </c>
      <c r="F721" s="89">
        <v>0</v>
      </c>
      <c r="G721" s="124">
        <f t="shared" si="134"/>
        <v>0</v>
      </c>
      <c r="H721" s="124">
        <f t="shared" si="134"/>
        <v>0</v>
      </c>
      <c r="I721" s="124">
        <f t="shared" si="134"/>
        <v>0</v>
      </c>
      <c r="J721" s="124">
        <f t="shared" si="134"/>
        <v>0</v>
      </c>
      <c r="K721" s="124">
        <f t="shared" si="134"/>
        <v>0</v>
      </c>
      <c r="L721" s="124">
        <f t="shared" si="134"/>
        <v>0</v>
      </c>
      <c r="M721" s="124">
        <f t="shared" si="134"/>
        <v>0</v>
      </c>
      <c r="N721" s="124">
        <f t="shared" si="134"/>
        <v>0</v>
      </c>
      <c r="O721" s="124">
        <f t="shared" si="134"/>
        <v>0</v>
      </c>
    </row>
    <row r="722" spans="2:15" hidden="1" outlineLevel="2">
      <c r="B722">
        <f t="shared" si="131"/>
        <v>97</v>
      </c>
      <c r="C722" s="73" t="str">
        <v>SpareOfferC27</v>
      </c>
      <c r="D722" t="s">
        <v>304</v>
      </c>
      <c r="F722" s="89">
        <v>0</v>
      </c>
      <c r="G722" s="124">
        <f t="shared" si="134"/>
        <v>0</v>
      </c>
      <c r="H722" s="124">
        <f t="shared" si="134"/>
        <v>0</v>
      </c>
      <c r="I722" s="124">
        <f t="shared" si="134"/>
        <v>0</v>
      </c>
      <c r="J722" s="124">
        <f t="shared" si="134"/>
        <v>0</v>
      </c>
      <c r="K722" s="124">
        <f t="shared" si="134"/>
        <v>0</v>
      </c>
      <c r="L722" s="124">
        <f t="shared" si="134"/>
        <v>0</v>
      </c>
      <c r="M722" s="124">
        <f t="shared" si="134"/>
        <v>0</v>
      </c>
      <c r="N722" s="124">
        <f t="shared" si="134"/>
        <v>0</v>
      </c>
      <c r="O722" s="124">
        <f t="shared" si="134"/>
        <v>0</v>
      </c>
    </row>
    <row r="723" spans="2:15" hidden="1" outlineLevel="2">
      <c r="B723">
        <f t="shared" si="131"/>
        <v>98</v>
      </c>
      <c r="C723" s="73" t="str">
        <v>SpareOfferC28</v>
      </c>
      <c r="D723" t="s">
        <v>304</v>
      </c>
      <c r="F723" s="89">
        <v>0</v>
      </c>
      <c r="G723" s="124">
        <f t="shared" si="134"/>
        <v>0</v>
      </c>
      <c r="H723" s="124">
        <f t="shared" si="134"/>
        <v>0</v>
      </c>
      <c r="I723" s="124">
        <f t="shared" si="134"/>
        <v>0</v>
      </c>
      <c r="J723" s="124">
        <f t="shared" si="134"/>
        <v>0</v>
      </c>
      <c r="K723" s="124">
        <f t="shared" si="134"/>
        <v>0</v>
      </c>
      <c r="L723" s="124">
        <f t="shared" si="134"/>
        <v>0</v>
      </c>
      <c r="M723" s="124">
        <f t="shared" si="134"/>
        <v>0</v>
      </c>
      <c r="N723" s="124">
        <f t="shared" si="134"/>
        <v>0</v>
      </c>
      <c r="O723" s="124">
        <f t="shared" si="134"/>
        <v>0</v>
      </c>
    </row>
    <row r="724" spans="2:15" hidden="1" outlineLevel="2">
      <c r="B724">
        <f t="shared" si="131"/>
        <v>99</v>
      </c>
      <c r="C724" s="73" t="str">
        <v>SpareOfferC29</v>
      </c>
      <c r="D724" t="s">
        <v>304</v>
      </c>
      <c r="F724" s="89">
        <v>0</v>
      </c>
      <c r="G724" s="124">
        <f t="shared" si="134"/>
        <v>0</v>
      </c>
      <c r="H724" s="124">
        <f t="shared" si="134"/>
        <v>0</v>
      </c>
      <c r="I724" s="124">
        <f t="shared" si="134"/>
        <v>0</v>
      </c>
      <c r="J724" s="124">
        <f t="shared" si="134"/>
        <v>0</v>
      </c>
      <c r="K724" s="124">
        <f t="shared" si="134"/>
        <v>0</v>
      </c>
      <c r="L724" s="124">
        <f t="shared" si="134"/>
        <v>0</v>
      </c>
      <c r="M724" s="124">
        <f t="shared" si="134"/>
        <v>0</v>
      </c>
      <c r="N724" s="124">
        <f t="shared" si="134"/>
        <v>0</v>
      </c>
      <c r="O724" s="124">
        <f t="shared" si="134"/>
        <v>0</v>
      </c>
    </row>
    <row r="725" spans="2:15" hidden="1" outlineLevel="2">
      <c r="B725">
        <f t="shared" si="131"/>
        <v>100</v>
      </c>
      <c r="C725" s="73" t="str">
        <v>SpareOfferC30</v>
      </c>
      <c r="D725" t="s">
        <v>304</v>
      </c>
      <c r="F725" s="89">
        <v>0</v>
      </c>
      <c r="G725" s="124">
        <f t="shared" si="134"/>
        <v>0</v>
      </c>
      <c r="H725" s="124">
        <f t="shared" si="134"/>
        <v>0</v>
      </c>
      <c r="I725" s="124">
        <f t="shared" si="134"/>
        <v>0</v>
      </c>
      <c r="J725" s="124">
        <f t="shared" si="134"/>
        <v>0</v>
      </c>
      <c r="K725" s="124">
        <f t="shared" si="134"/>
        <v>0</v>
      </c>
      <c r="L725" s="124">
        <f t="shared" si="134"/>
        <v>0</v>
      </c>
      <c r="M725" s="124">
        <f t="shared" si="134"/>
        <v>0</v>
      </c>
      <c r="N725" s="124">
        <f t="shared" si="134"/>
        <v>0</v>
      </c>
      <c r="O725" s="124">
        <f t="shared" si="134"/>
        <v>0</v>
      </c>
    </row>
    <row r="726" spans="2:15" hidden="1" outlineLevel="2">
      <c r="B726">
        <f t="shared" si="131"/>
        <v>101</v>
      </c>
      <c r="C726" s="73" t="str">
        <v>SpareOfferC31</v>
      </c>
      <c r="D726" t="s">
        <v>304</v>
      </c>
      <c r="F726" s="89">
        <v>0</v>
      </c>
      <c r="G726" s="124">
        <f t="shared" si="134"/>
        <v>0</v>
      </c>
      <c r="H726" s="124">
        <f t="shared" si="134"/>
        <v>0</v>
      </c>
      <c r="I726" s="124">
        <f t="shared" si="134"/>
        <v>0</v>
      </c>
      <c r="J726" s="124">
        <f t="shared" si="134"/>
        <v>0</v>
      </c>
      <c r="K726" s="124">
        <f t="shared" si="134"/>
        <v>0</v>
      </c>
      <c r="L726" s="124">
        <f t="shared" si="134"/>
        <v>0</v>
      </c>
      <c r="M726" s="124">
        <f t="shared" si="134"/>
        <v>0</v>
      </c>
      <c r="N726" s="124">
        <f t="shared" si="134"/>
        <v>0</v>
      </c>
      <c r="O726" s="124">
        <f t="shared" si="134"/>
        <v>0</v>
      </c>
    </row>
    <row r="727" spans="2:15" hidden="1" outlineLevel="2">
      <c r="B727">
        <f t="shared" si="131"/>
        <v>102</v>
      </c>
      <c r="C727" s="73" t="str">
        <v>SpareOfferC32</v>
      </c>
      <c r="D727" t="s">
        <v>304</v>
      </c>
      <c r="F727" s="89">
        <v>0</v>
      </c>
      <c r="G727" s="124">
        <f t="shared" si="134"/>
        <v>0</v>
      </c>
      <c r="H727" s="124">
        <f t="shared" si="134"/>
        <v>0</v>
      </c>
      <c r="I727" s="124">
        <f t="shared" si="134"/>
        <v>0</v>
      </c>
      <c r="J727" s="124">
        <f t="shared" si="134"/>
        <v>0</v>
      </c>
      <c r="K727" s="124">
        <f t="shared" si="134"/>
        <v>0</v>
      </c>
      <c r="L727" s="124">
        <f t="shared" si="134"/>
        <v>0</v>
      </c>
      <c r="M727" s="124">
        <f t="shared" si="134"/>
        <v>0</v>
      </c>
      <c r="N727" s="124">
        <f t="shared" si="134"/>
        <v>0</v>
      </c>
      <c r="O727" s="124">
        <f t="shared" si="134"/>
        <v>0</v>
      </c>
    </row>
    <row r="728" spans="2:15" hidden="1" outlineLevel="2">
      <c r="B728">
        <f t="shared" si="131"/>
        <v>103</v>
      </c>
      <c r="C728" s="73" t="str">
        <v>SpareOfferC33</v>
      </c>
      <c r="D728" t="s">
        <v>304</v>
      </c>
      <c r="F728" s="89">
        <v>0</v>
      </c>
      <c r="G728" s="124">
        <f t="shared" si="134"/>
        <v>0</v>
      </c>
      <c r="H728" s="124">
        <f t="shared" si="134"/>
        <v>0</v>
      </c>
      <c r="I728" s="124">
        <f t="shared" si="134"/>
        <v>0</v>
      </c>
      <c r="J728" s="124">
        <f t="shared" si="134"/>
        <v>0</v>
      </c>
      <c r="K728" s="124">
        <f t="shared" si="134"/>
        <v>0</v>
      </c>
      <c r="L728" s="124">
        <f t="shared" si="134"/>
        <v>0</v>
      </c>
      <c r="M728" s="124">
        <f t="shared" si="134"/>
        <v>0</v>
      </c>
      <c r="N728" s="124">
        <f t="shared" si="134"/>
        <v>0</v>
      </c>
      <c r="O728" s="124">
        <f t="shared" si="134"/>
        <v>0</v>
      </c>
    </row>
    <row r="729" spans="2:15" hidden="1" outlineLevel="2">
      <c r="B729">
        <f t="shared" si="131"/>
        <v>104</v>
      </c>
      <c r="C729" s="73" t="str">
        <v>SpareOfferC34</v>
      </c>
      <c r="D729" t="s">
        <v>304</v>
      </c>
      <c r="F729" s="89">
        <v>0</v>
      </c>
      <c r="G729" s="124">
        <f t="shared" si="134"/>
        <v>0</v>
      </c>
      <c r="H729" s="124">
        <f t="shared" si="134"/>
        <v>0</v>
      </c>
      <c r="I729" s="124">
        <f t="shared" si="134"/>
        <v>0</v>
      </c>
      <c r="J729" s="124">
        <f t="shared" si="134"/>
        <v>0</v>
      </c>
      <c r="K729" s="124">
        <f t="shared" si="134"/>
        <v>0</v>
      </c>
      <c r="L729" s="124">
        <f t="shared" si="134"/>
        <v>0</v>
      </c>
      <c r="M729" s="124">
        <f t="shared" si="134"/>
        <v>0</v>
      </c>
      <c r="N729" s="124">
        <f t="shared" si="134"/>
        <v>0</v>
      </c>
      <c r="O729" s="124">
        <f t="shared" si="134"/>
        <v>0</v>
      </c>
    </row>
    <row r="730" spans="2:15" outlineLevel="1" collapsed="1">
      <c r="B730">
        <f t="shared" si="131"/>
        <v>105</v>
      </c>
      <c r="C730" s="73" t="str">
        <v>SpareOfferC35</v>
      </c>
      <c r="D730" t="s">
        <v>304</v>
      </c>
      <c r="F730" s="89">
        <v>0</v>
      </c>
      <c r="G730" s="124">
        <f t="shared" si="134"/>
        <v>0</v>
      </c>
      <c r="H730" s="124">
        <f t="shared" si="134"/>
        <v>0</v>
      </c>
      <c r="I730" s="124">
        <f t="shared" si="134"/>
        <v>0</v>
      </c>
      <c r="J730" s="124">
        <f t="shared" si="134"/>
        <v>0</v>
      </c>
      <c r="K730" s="124">
        <f t="shared" si="134"/>
        <v>0</v>
      </c>
      <c r="L730" s="124">
        <f t="shared" si="134"/>
        <v>0</v>
      </c>
      <c r="M730" s="124">
        <f t="shared" si="134"/>
        <v>0</v>
      </c>
      <c r="N730" s="124">
        <f t="shared" si="134"/>
        <v>0</v>
      </c>
      <c r="O730" s="124">
        <f t="shared" si="134"/>
        <v>0</v>
      </c>
    </row>
    <row r="731" spans="2:15" outlineLevel="1"/>
    <row r="732" spans="2:15" outlineLevel="1">
      <c r="B732" s="91" t="s">
        <v>325</v>
      </c>
    </row>
    <row r="733" spans="2:15" outlineLevel="1"/>
    <row r="734" spans="2:15" outlineLevel="1">
      <c r="F734" s="149" t="s">
        <v>89</v>
      </c>
    </row>
    <row r="735" spans="2:15" outlineLevel="1">
      <c r="C735" s="93" t="s">
        <v>270</v>
      </c>
      <c r="F735" s="114">
        <f>SUMPRODUCT(F736:F770,subscription.split.segment.3)</f>
        <v>0</v>
      </c>
    </row>
    <row r="736" spans="2:15" outlineLevel="1">
      <c r="C736" s="73" t="str">
        <f t="array" ref="C736:C770">offers.segment.3</f>
        <v>SpareOfferC1</v>
      </c>
      <c r="D736" s="97" t="s">
        <v>189</v>
      </c>
      <c r="F736" s="142">
        <f t="shared" ref="F736:F770" si="135">F774+F813+F852</f>
        <v>0</v>
      </c>
    </row>
    <row r="737" spans="3:6" hidden="1" outlineLevel="2">
      <c r="C737" s="73" t="str">
        <v>SpareOfferC2</v>
      </c>
      <c r="D737" s="97" t="s">
        <v>189</v>
      </c>
      <c r="F737" s="142">
        <f t="shared" si="135"/>
        <v>0</v>
      </c>
    </row>
    <row r="738" spans="3:6" hidden="1" outlineLevel="2">
      <c r="C738" s="73" t="str">
        <v>SpareOfferC3</v>
      </c>
      <c r="D738" s="97" t="s">
        <v>189</v>
      </c>
      <c r="F738" s="142">
        <f t="shared" si="135"/>
        <v>0</v>
      </c>
    </row>
    <row r="739" spans="3:6" hidden="1" outlineLevel="2">
      <c r="C739" s="73" t="str">
        <v>SpareOfferC4</v>
      </c>
      <c r="D739" s="97" t="s">
        <v>189</v>
      </c>
      <c r="F739" s="142">
        <f t="shared" si="135"/>
        <v>0</v>
      </c>
    </row>
    <row r="740" spans="3:6" hidden="1" outlineLevel="2">
      <c r="C740" s="73" t="str">
        <v>SpareOfferC5</v>
      </c>
      <c r="D740" s="97" t="s">
        <v>189</v>
      </c>
      <c r="F740" s="142">
        <f t="shared" si="135"/>
        <v>0</v>
      </c>
    </row>
    <row r="741" spans="3:6" hidden="1" outlineLevel="2">
      <c r="C741" s="73" t="str">
        <v>SpareOfferC6</v>
      </c>
      <c r="D741" s="97" t="s">
        <v>189</v>
      </c>
      <c r="F741" s="142">
        <f t="shared" si="135"/>
        <v>0</v>
      </c>
    </row>
    <row r="742" spans="3:6" hidden="1" outlineLevel="2">
      <c r="C742" s="73" t="str">
        <v>SpareOfferC7</v>
      </c>
      <c r="D742" s="97" t="s">
        <v>189</v>
      </c>
      <c r="F742" s="142">
        <f t="shared" si="135"/>
        <v>0</v>
      </c>
    </row>
    <row r="743" spans="3:6" hidden="1" outlineLevel="2">
      <c r="C743" s="73" t="str">
        <v>SpareOfferC8</v>
      </c>
      <c r="D743" s="97" t="s">
        <v>189</v>
      </c>
      <c r="F743" s="142">
        <f t="shared" si="135"/>
        <v>0</v>
      </c>
    </row>
    <row r="744" spans="3:6" hidden="1" outlineLevel="2">
      <c r="C744" s="73" t="str">
        <v>SpareOfferC9</v>
      </c>
      <c r="D744" s="97" t="s">
        <v>189</v>
      </c>
      <c r="F744" s="142">
        <f t="shared" si="135"/>
        <v>0</v>
      </c>
    </row>
    <row r="745" spans="3:6" hidden="1" outlineLevel="2">
      <c r="C745" s="73" t="str">
        <v>SpareOfferC10</v>
      </c>
      <c r="D745" s="97" t="s">
        <v>189</v>
      </c>
      <c r="F745" s="142">
        <f t="shared" si="135"/>
        <v>0</v>
      </c>
    </row>
    <row r="746" spans="3:6" hidden="1" outlineLevel="2">
      <c r="C746" s="73" t="str">
        <v>SpareOfferC11</v>
      </c>
      <c r="D746" s="97" t="s">
        <v>189</v>
      </c>
      <c r="F746" s="142">
        <f t="shared" si="135"/>
        <v>0</v>
      </c>
    </row>
    <row r="747" spans="3:6" hidden="1" outlineLevel="2">
      <c r="C747" s="73" t="str">
        <v>SpareOfferC12</v>
      </c>
      <c r="D747" s="97" t="s">
        <v>189</v>
      </c>
      <c r="F747" s="142">
        <f t="shared" si="135"/>
        <v>0</v>
      </c>
    </row>
    <row r="748" spans="3:6" hidden="1" outlineLevel="2">
      <c r="C748" s="73" t="str">
        <v>SpareOfferC13</v>
      </c>
      <c r="D748" s="97" t="s">
        <v>189</v>
      </c>
      <c r="F748" s="142">
        <f t="shared" si="135"/>
        <v>0</v>
      </c>
    </row>
    <row r="749" spans="3:6" hidden="1" outlineLevel="2">
      <c r="C749" s="73" t="str">
        <v>SpareOfferC14</v>
      </c>
      <c r="D749" s="97" t="s">
        <v>189</v>
      </c>
      <c r="F749" s="142">
        <f t="shared" si="135"/>
        <v>0</v>
      </c>
    </row>
    <row r="750" spans="3:6" hidden="1" outlineLevel="2">
      <c r="C750" s="73" t="str">
        <v>SpareOfferC15</v>
      </c>
      <c r="D750" s="97" t="s">
        <v>189</v>
      </c>
      <c r="F750" s="142">
        <f t="shared" si="135"/>
        <v>0</v>
      </c>
    </row>
    <row r="751" spans="3:6" hidden="1" outlineLevel="2">
      <c r="C751" s="73" t="str">
        <v>SpareOfferC16</v>
      </c>
      <c r="D751" s="97" t="s">
        <v>189</v>
      </c>
      <c r="F751" s="142">
        <f t="shared" si="135"/>
        <v>0</v>
      </c>
    </row>
    <row r="752" spans="3:6" hidden="1" outlineLevel="2">
      <c r="C752" s="73" t="str">
        <v>SpareOfferC17</v>
      </c>
      <c r="D752" s="97" t="s">
        <v>189</v>
      </c>
      <c r="F752" s="142">
        <f t="shared" si="135"/>
        <v>0</v>
      </c>
    </row>
    <row r="753" spans="3:6" hidden="1" outlineLevel="2">
      <c r="C753" s="73" t="str">
        <v>SpareOfferC18</v>
      </c>
      <c r="D753" s="97" t="s">
        <v>189</v>
      </c>
      <c r="F753" s="142">
        <f t="shared" si="135"/>
        <v>0</v>
      </c>
    </row>
    <row r="754" spans="3:6" hidden="1" outlineLevel="2">
      <c r="C754" s="73" t="str">
        <v>SpareOfferC19</v>
      </c>
      <c r="D754" s="97" t="s">
        <v>189</v>
      </c>
      <c r="F754" s="142">
        <f t="shared" si="135"/>
        <v>0</v>
      </c>
    </row>
    <row r="755" spans="3:6" hidden="1" outlineLevel="2">
      <c r="C755" s="73" t="str">
        <v>SpareOfferC20</v>
      </c>
      <c r="D755" s="97" t="s">
        <v>189</v>
      </c>
      <c r="F755" s="142">
        <f t="shared" si="135"/>
        <v>0</v>
      </c>
    </row>
    <row r="756" spans="3:6" hidden="1" outlineLevel="2">
      <c r="C756" s="73" t="str">
        <v>SpareOfferC21</v>
      </c>
      <c r="D756" s="97" t="s">
        <v>189</v>
      </c>
      <c r="F756" s="142">
        <f t="shared" si="135"/>
        <v>0</v>
      </c>
    </row>
    <row r="757" spans="3:6" hidden="1" outlineLevel="2">
      <c r="C757" s="73" t="str">
        <v>SpareOfferC22</v>
      </c>
      <c r="D757" s="97" t="s">
        <v>189</v>
      </c>
      <c r="F757" s="142">
        <f t="shared" si="135"/>
        <v>0</v>
      </c>
    </row>
    <row r="758" spans="3:6" hidden="1" outlineLevel="2">
      <c r="C758" s="73" t="str">
        <v>SpareOfferC23</v>
      </c>
      <c r="D758" s="97" t="s">
        <v>189</v>
      </c>
      <c r="F758" s="142">
        <f t="shared" si="135"/>
        <v>0</v>
      </c>
    </row>
    <row r="759" spans="3:6" hidden="1" outlineLevel="2">
      <c r="C759" s="73" t="str">
        <v>SpareOfferC24</v>
      </c>
      <c r="D759" s="97" t="s">
        <v>189</v>
      </c>
      <c r="F759" s="142">
        <f t="shared" si="135"/>
        <v>0</v>
      </c>
    </row>
    <row r="760" spans="3:6" hidden="1" outlineLevel="2">
      <c r="C760" s="73" t="str">
        <v>SpareOfferC25</v>
      </c>
      <c r="D760" s="97" t="s">
        <v>189</v>
      </c>
      <c r="F760" s="142">
        <f t="shared" si="135"/>
        <v>0</v>
      </c>
    </row>
    <row r="761" spans="3:6" hidden="1" outlineLevel="2">
      <c r="C761" s="73" t="str">
        <v>SpareOfferC26</v>
      </c>
      <c r="D761" s="97" t="s">
        <v>189</v>
      </c>
      <c r="F761" s="142">
        <f t="shared" si="135"/>
        <v>0</v>
      </c>
    </row>
    <row r="762" spans="3:6" hidden="1" outlineLevel="2">
      <c r="C762" s="73" t="str">
        <v>SpareOfferC27</v>
      </c>
      <c r="D762" s="97" t="s">
        <v>189</v>
      </c>
      <c r="F762" s="142">
        <f t="shared" si="135"/>
        <v>0</v>
      </c>
    </row>
    <row r="763" spans="3:6" hidden="1" outlineLevel="2">
      <c r="C763" s="73" t="str">
        <v>SpareOfferC28</v>
      </c>
      <c r="D763" s="97" t="s">
        <v>189</v>
      </c>
      <c r="F763" s="142">
        <f t="shared" si="135"/>
        <v>0</v>
      </c>
    </row>
    <row r="764" spans="3:6" hidden="1" outlineLevel="2">
      <c r="C764" s="73" t="str">
        <v>SpareOfferC29</v>
      </c>
      <c r="D764" s="97" t="s">
        <v>189</v>
      </c>
      <c r="F764" s="142">
        <f t="shared" si="135"/>
        <v>0</v>
      </c>
    </row>
    <row r="765" spans="3:6" hidden="1" outlineLevel="2">
      <c r="C765" s="73" t="str">
        <v>SpareOfferC30</v>
      </c>
      <c r="D765" s="97" t="s">
        <v>189</v>
      </c>
      <c r="F765" s="142">
        <f t="shared" si="135"/>
        <v>0</v>
      </c>
    </row>
    <row r="766" spans="3:6" hidden="1" outlineLevel="2">
      <c r="C766" s="73" t="str">
        <v>SpareOfferC31</v>
      </c>
      <c r="D766" s="97" t="s">
        <v>189</v>
      </c>
      <c r="F766" s="142">
        <f t="shared" si="135"/>
        <v>0</v>
      </c>
    </row>
    <row r="767" spans="3:6" hidden="1" outlineLevel="2">
      <c r="C767" s="73" t="str">
        <v>SpareOfferC32</v>
      </c>
      <c r="D767" s="97" t="s">
        <v>189</v>
      </c>
      <c r="F767" s="142">
        <f t="shared" si="135"/>
        <v>0</v>
      </c>
    </row>
    <row r="768" spans="3:6" hidden="1" outlineLevel="2">
      <c r="C768" s="73" t="str">
        <v>SpareOfferC33</v>
      </c>
      <c r="D768" s="97" t="s">
        <v>189</v>
      </c>
      <c r="F768" s="142">
        <f t="shared" si="135"/>
        <v>0</v>
      </c>
    </row>
    <row r="769" spans="3:7" hidden="1" outlineLevel="2">
      <c r="C769" s="73" t="str">
        <v>SpareOfferC34</v>
      </c>
      <c r="D769" s="97" t="s">
        <v>189</v>
      </c>
      <c r="F769" s="142">
        <f t="shared" si="135"/>
        <v>0</v>
      </c>
    </row>
    <row r="770" spans="3:7" outlineLevel="1" collapsed="1">
      <c r="C770" s="73" t="str">
        <v>SpareOfferC35</v>
      </c>
      <c r="D770" s="97" t="s">
        <v>189</v>
      </c>
      <c r="F770" s="142">
        <f t="shared" si="135"/>
        <v>0</v>
      </c>
    </row>
    <row r="771" spans="3:7" ht="12" outlineLevel="1">
      <c r="F771" s="153" t="s">
        <v>330</v>
      </c>
    </row>
    <row r="772" spans="3:7" outlineLevel="1">
      <c r="C772" s="93" t="s">
        <v>318</v>
      </c>
      <c r="F772" s="149" t="s">
        <v>89</v>
      </c>
    </row>
    <row r="773" spans="3:7" outlineLevel="1">
      <c r="C773" s="35" t="s">
        <v>89</v>
      </c>
      <c r="D773" s="97" t="s">
        <v>189</v>
      </c>
      <c r="F773" s="101">
        <f>$F$22</f>
        <v>0</v>
      </c>
      <c r="G773" s="1" t="s">
        <v>310</v>
      </c>
    </row>
    <row r="774" spans="3:7" outlineLevel="1">
      <c r="C774" s="73" t="str">
        <f t="array" ref="C774:C808">offers.segment.3</f>
        <v>SpareOfferC1</v>
      </c>
      <c r="D774" s="97" t="s">
        <v>189</v>
      </c>
      <c r="F774" s="168">
        <f t="shared" ref="F774:F808" si="136">F$773*IF(G774=0, 0, 1)</f>
        <v>0</v>
      </c>
      <c r="G774" s="228">
        <f t="array" ref="G774:G808">subscription.split.segment.3</f>
        <v>0</v>
      </c>
    </row>
    <row r="775" spans="3:7" hidden="1" outlineLevel="2">
      <c r="C775" s="73" t="str">
        <v>SpareOfferC2</v>
      </c>
      <c r="D775" s="97" t="s">
        <v>189</v>
      </c>
      <c r="F775" s="168">
        <f t="shared" si="136"/>
        <v>0</v>
      </c>
      <c r="G775" s="228">
        <v>0</v>
      </c>
    </row>
    <row r="776" spans="3:7" hidden="1" outlineLevel="2">
      <c r="C776" s="73" t="str">
        <v>SpareOfferC3</v>
      </c>
      <c r="D776" s="97" t="s">
        <v>189</v>
      </c>
      <c r="F776" s="168">
        <f t="shared" si="136"/>
        <v>0</v>
      </c>
      <c r="G776" s="228">
        <v>0</v>
      </c>
    </row>
    <row r="777" spans="3:7" hidden="1" outlineLevel="2">
      <c r="C777" s="73" t="str">
        <v>SpareOfferC4</v>
      </c>
      <c r="D777" s="97" t="s">
        <v>189</v>
      </c>
      <c r="F777" s="168">
        <f t="shared" si="136"/>
        <v>0</v>
      </c>
      <c r="G777" s="228">
        <v>0</v>
      </c>
    </row>
    <row r="778" spans="3:7" hidden="1" outlineLevel="2">
      <c r="C778" s="73" t="str">
        <v>SpareOfferC5</v>
      </c>
      <c r="D778" s="97" t="s">
        <v>189</v>
      </c>
      <c r="F778" s="168">
        <f t="shared" si="136"/>
        <v>0</v>
      </c>
      <c r="G778" s="228">
        <v>0</v>
      </c>
    </row>
    <row r="779" spans="3:7" hidden="1" outlineLevel="2">
      <c r="C779" s="73" t="str">
        <v>SpareOfferC6</v>
      </c>
      <c r="D779" s="97" t="s">
        <v>189</v>
      </c>
      <c r="F779" s="168">
        <f t="shared" si="136"/>
        <v>0</v>
      </c>
      <c r="G779" s="228">
        <v>0</v>
      </c>
    </row>
    <row r="780" spans="3:7" hidden="1" outlineLevel="2">
      <c r="C780" s="73" t="str">
        <v>SpareOfferC7</v>
      </c>
      <c r="D780" s="97" t="s">
        <v>189</v>
      </c>
      <c r="F780" s="168">
        <f t="shared" si="136"/>
        <v>0</v>
      </c>
      <c r="G780" s="228">
        <v>0</v>
      </c>
    </row>
    <row r="781" spans="3:7" hidden="1" outlineLevel="2">
      <c r="C781" s="73" t="str">
        <v>SpareOfferC8</v>
      </c>
      <c r="D781" s="97" t="s">
        <v>189</v>
      </c>
      <c r="F781" s="168">
        <f t="shared" si="136"/>
        <v>0</v>
      </c>
      <c r="G781" s="228">
        <v>0</v>
      </c>
    </row>
    <row r="782" spans="3:7" hidden="1" outlineLevel="2">
      <c r="C782" s="73" t="str">
        <v>SpareOfferC9</v>
      </c>
      <c r="D782" s="97" t="s">
        <v>189</v>
      </c>
      <c r="F782" s="168">
        <f t="shared" si="136"/>
        <v>0</v>
      </c>
      <c r="G782" s="228">
        <v>0</v>
      </c>
    </row>
    <row r="783" spans="3:7" hidden="1" outlineLevel="2">
      <c r="C783" s="73" t="str">
        <v>SpareOfferC10</v>
      </c>
      <c r="D783" s="97" t="s">
        <v>189</v>
      </c>
      <c r="F783" s="168">
        <f t="shared" si="136"/>
        <v>0</v>
      </c>
      <c r="G783" s="228">
        <v>0</v>
      </c>
    </row>
    <row r="784" spans="3:7" hidden="1" outlineLevel="2">
      <c r="C784" s="73" t="str">
        <v>SpareOfferC11</v>
      </c>
      <c r="D784" s="97" t="s">
        <v>189</v>
      </c>
      <c r="F784" s="168">
        <f t="shared" si="136"/>
        <v>0</v>
      </c>
      <c r="G784" s="228">
        <v>0</v>
      </c>
    </row>
    <row r="785" spans="3:7" hidden="1" outlineLevel="2">
      <c r="C785" s="73" t="str">
        <v>SpareOfferC12</v>
      </c>
      <c r="D785" s="97" t="s">
        <v>189</v>
      </c>
      <c r="F785" s="168">
        <f t="shared" si="136"/>
        <v>0</v>
      </c>
      <c r="G785" s="228">
        <v>0</v>
      </c>
    </row>
    <row r="786" spans="3:7" hidden="1" outlineLevel="2">
      <c r="C786" s="73" t="str">
        <v>SpareOfferC13</v>
      </c>
      <c r="D786" s="97" t="s">
        <v>189</v>
      </c>
      <c r="F786" s="168">
        <f t="shared" si="136"/>
        <v>0</v>
      </c>
      <c r="G786" s="228">
        <v>0</v>
      </c>
    </row>
    <row r="787" spans="3:7" hidden="1" outlineLevel="2">
      <c r="C787" s="73" t="str">
        <v>SpareOfferC14</v>
      </c>
      <c r="D787" s="97" t="s">
        <v>189</v>
      </c>
      <c r="F787" s="168">
        <f t="shared" si="136"/>
        <v>0</v>
      </c>
      <c r="G787" s="228">
        <v>0</v>
      </c>
    </row>
    <row r="788" spans="3:7" hidden="1" outlineLevel="2">
      <c r="C788" s="73" t="str">
        <v>SpareOfferC15</v>
      </c>
      <c r="D788" s="97" t="s">
        <v>189</v>
      </c>
      <c r="F788" s="168">
        <f t="shared" si="136"/>
        <v>0</v>
      </c>
      <c r="G788" s="228">
        <v>0</v>
      </c>
    </row>
    <row r="789" spans="3:7" hidden="1" outlineLevel="2">
      <c r="C789" s="73" t="str">
        <v>SpareOfferC16</v>
      </c>
      <c r="D789" s="97" t="s">
        <v>189</v>
      </c>
      <c r="F789" s="168">
        <f t="shared" si="136"/>
        <v>0</v>
      </c>
      <c r="G789" s="228">
        <v>0</v>
      </c>
    </row>
    <row r="790" spans="3:7" hidden="1" outlineLevel="2">
      <c r="C790" s="73" t="str">
        <v>SpareOfferC17</v>
      </c>
      <c r="D790" s="97" t="s">
        <v>189</v>
      </c>
      <c r="F790" s="168">
        <f t="shared" si="136"/>
        <v>0</v>
      </c>
      <c r="G790" s="228">
        <v>0</v>
      </c>
    </row>
    <row r="791" spans="3:7" hidden="1" outlineLevel="2">
      <c r="C791" s="73" t="str">
        <v>SpareOfferC18</v>
      </c>
      <c r="D791" s="97" t="s">
        <v>189</v>
      </c>
      <c r="F791" s="168">
        <f t="shared" si="136"/>
        <v>0</v>
      </c>
      <c r="G791" s="228">
        <v>0</v>
      </c>
    </row>
    <row r="792" spans="3:7" hidden="1" outlineLevel="2">
      <c r="C792" s="73" t="str">
        <v>SpareOfferC19</v>
      </c>
      <c r="D792" s="97" t="s">
        <v>189</v>
      </c>
      <c r="F792" s="168">
        <f t="shared" si="136"/>
        <v>0</v>
      </c>
      <c r="G792" s="228">
        <v>0</v>
      </c>
    </row>
    <row r="793" spans="3:7" hidden="1" outlineLevel="2">
      <c r="C793" s="73" t="str">
        <v>SpareOfferC20</v>
      </c>
      <c r="D793" s="97" t="s">
        <v>189</v>
      </c>
      <c r="F793" s="168">
        <f t="shared" si="136"/>
        <v>0</v>
      </c>
      <c r="G793" s="228">
        <v>0</v>
      </c>
    </row>
    <row r="794" spans="3:7" hidden="1" outlineLevel="2">
      <c r="C794" s="73" t="str">
        <v>SpareOfferC21</v>
      </c>
      <c r="D794" s="97" t="s">
        <v>189</v>
      </c>
      <c r="F794" s="168">
        <f t="shared" si="136"/>
        <v>0</v>
      </c>
      <c r="G794" s="228">
        <v>0</v>
      </c>
    </row>
    <row r="795" spans="3:7" hidden="1" outlineLevel="2">
      <c r="C795" s="73" t="str">
        <v>SpareOfferC22</v>
      </c>
      <c r="D795" s="97" t="s">
        <v>189</v>
      </c>
      <c r="F795" s="168">
        <f t="shared" si="136"/>
        <v>0</v>
      </c>
      <c r="G795" s="228">
        <v>0</v>
      </c>
    </row>
    <row r="796" spans="3:7" hidden="1" outlineLevel="2">
      <c r="C796" s="73" t="str">
        <v>SpareOfferC23</v>
      </c>
      <c r="D796" s="97" t="s">
        <v>189</v>
      </c>
      <c r="F796" s="168">
        <f t="shared" si="136"/>
        <v>0</v>
      </c>
      <c r="G796" s="228">
        <v>0</v>
      </c>
    </row>
    <row r="797" spans="3:7" hidden="1" outlineLevel="2">
      <c r="C797" s="73" t="str">
        <v>SpareOfferC24</v>
      </c>
      <c r="D797" s="97" t="s">
        <v>189</v>
      </c>
      <c r="F797" s="168">
        <f t="shared" si="136"/>
        <v>0</v>
      </c>
      <c r="G797" s="228">
        <v>0</v>
      </c>
    </row>
    <row r="798" spans="3:7" hidden="1" outlineLevel="2">
      <c r="C798" s="73" t="str">
        <v>SpareOfferC25</v>
      </c>
      <c r="D798" s="97" t="s">
        <v>189</v>
      </c>
      <c r="F798" s="168">
        <f t="shared" si="136"/>
        <v>0</v>
      </c>
      <c r="G798" s="228">
        <v>0</v>
      </c>
    </row>
    <row r="799" spans="3:7" hidden="1" outlineLevel="2">
      <c r="C799" s="73" t="str">
        <v>SpareOfferC26</v>
      </c>
      <c r="D799" s="97" t="s">
        <v>189</v>
      </c>
      <c r="F799" s="168">
        <f t="shared" si="136"/>
        <v>0</v>
      </c>
      <c r="G799" s="228">
        <v>0</v>
      </c>
    </row>
    <row r="800" spans="3:7" hidden="1" outlineLevel="2">
      <c r="C800" s="73" t="str">
        <v>SpareOfferC27</v>
      </c>
      <c r="D800" s="97" t="s">
        <v>189</v>
      </c>
      <c r="F800" s="168">
        <f t="shared" si="136"/>
        <v>0</v>
      </c>
      <c r="G800" s="228">
        <v>0</v>
      </c>
    </row>
    <row r="801" spans="3:21" hidden="1" outlineLevel="2">
      <c r="C801" s="73" t="str">
        <v>SpareOfferC28</v>
      </c>
      <c r="D801" s="97" t="s">
        <v>189</v>
      </c>
      <c r="F801" s="168">
        <f t="shared" si="136"/>
        <v>0</v>
      </c>
      <c r="G801" s="228">
        <v>0</v>
      </c>
    </row>
    <row r="802" spans="3:21" hidden="1" outlineLevel="2">
      <c r="C802" s="73" t="str">
        <v>SpareOfferC29</v>
      </c>
      <c r="D802" s="97" t="s">
        <v>189</v>
      </c>
      <c r="F802" s="168">
        <f t="shared" si="136"/>
        <v>0</v>
      </c>
      <c r="G802" s="228">
        <v>0</v>
      </c>
    </row>
    <row r="803" spans="3:21" hidden="1" outlineLevel="2">
      <c r="C803" s="73" t="str">
        <v>SpareOfferC30</v>
      </c>
      <c r="D803" s="97" t="s">
        <v>189</v>
      </c>
      <c r="F803" s="168">
        <f t="shared" si="136"/>
        <v>0</v>
      </c>
      <c r="G803" s="228">
        <v>0</v>
      </c>
    </row>
    <row r="804" spans="3:21" hidden="1" outlineLevel="2">
      <c r="C804" s="73" t="str">
        <v>SpareOfferC31</v>
      </c>
      <c r="D804" s="97" t="s">
        <v>189</v>
      </c>
      <c r="F804" s="168">
        <f t="shared" si="136"/>
        <v>0</v>
      </c>
      <c r="G804" s="228">
        <v>0</v>
      </c>
    </row>
    <row r="805" spans="3:21" hidden="1" outlineLevel="2">
      <c r="C805" s="73" t="str">
        <v>SpareOfferC32</v>
      </c>
      <c r="D805" s="97" t="s">
        <v>189</v>
      </c>
      <c r="F805" s="168">
        <f t="shared" si="136"/>
        <v>0</v>
      </c>
      <c r="G805" s="228">
        <v>0</v>
      </c>
    </row>
    <row r="806" spans="3:21" hidden="1" outlineLevel="2">
      <c r="C806" s="73" t="str">
        <v>SpareOfferC33</v>
      </c>
      <c r="D806" s="97" t="s">
        <v>189</v>
      </c>
      <c r="F806" s="168">
        <f t="shared" si="136"/>
        <v>0</v>
      </c>
      <c r="G806" s="228">
        <v>0</v>
      </c>
    </row>
    <row r="807" spans="3:21" hidden="1" outlineLevel="2">
      <c r="C807" s="73" t="str">
        <v>SpareOfferC34</v>
      </c>
      <c r="D807" s="97" t="s">
        <v>189</v>
      </c>
      <c r="F807" s="168">
        <f t="shared" si="136"/>
        <v>0</v>
      </c>
      <c r="G807" s="228">
        <v>0</v>
      </c>
    </row>
    <row r="808" spans="3:21" outlineLevel="1" collapsed="1">
      <c r="C808" s="73" t="str">
        <v>SpareOfferC35</v>
      </c>
      <c r="D808" s="97" t="s">
        <v>189</v>
      </c>
      <c r="F808" s="168">
        <f t="shared" si="136"/>
        <v>0</v>
      </c>
      <c r="G808" s="228">
        <v>0</v>
      </c>
    </row>
    <row r="809" spans="3:21" outlineLevel="1">
      <c r="F809" s="4"/>
    </row>
    <row r="810" spans="3:21" outlineLevel="1">
      <c r="C810" s="35" t="s">
        <v>513</v>
      </c>
      <c r="F810" s="1" t="s">
        <v>317</v>
      </c>
      <c r="G810" s="165" t="s">
        <v>162</v>
      </c>
      <c r="H810" s="165"/>
      <c r="I810" s="165"/>
      <c r="J810" s="165"/>
      <c r="K810" s="165"/>
      <c r="L810" s="165"/>
      <c r="M810" s="165"/>
      <c r="O810" s="165" t="s">
        <v>164</v>
      </c>
      <c r="P810" s="165"/>
      <c r="Q810" s="165"/>
      <c r="R810" s="66"/>
      <c r="S810" s="66"/>
      <c r="T810" s="66"/>
      <c r="U810" s="66"/>
    </row>
    <row r="811" spans="3:21" ht="24" customHeight="1" outlineLevel="1">
      <c r="F811" s="155"/>
      <c r="G811" s="165" t="str">
        <f t="array" ref="G811:M811">TRANSPOSE(voice.destination.plus.in)</f>
        <v>On-net</v>
      </c>
      <c r="H811" s="165" t="str">
        <v>Off-net fixed</v>
      </c>
      <c r="I811" s="165" t="str">
        <v>Off-net mobile</v>
      </c>
      <c r="J811" s="66" t="str">
        <v>International</v>
      </c>
      <c r="K811" s="66" t="str">
        <v>VAS</v>
      </c>
      <c r="L811" s="66" t="str">
        <v>Not used</v>
      </c>
      <c r="M811" s="165" t="str">
        <v>Termination</v>
      </c>
      <c r="O811" s="165" t="str">
        <f t="array" ref="O811:U811">TRANSPOSE(SMS.destination.plus.in)</f>
        <v>On-net</v>
      </c>
      <c r="P811" s="165" t="str">
        <v>Off-net fixed</v>
      </c>
      <c r="Q811" s="165" t="str">
        <v>Off-net mobile</v>
      </c>
      <c r="R811" s="66" t="str">
        <v>International</v>
      </c>
      <c r="S811" s="66" t="str">
        <v>Content messages: BankID</v>
      </c>
      <c r="T811" s="66" t="str">
        <v>Content messages: other</v>
      </c>
      <c r="U811" s="165" t="str">
        <v>Termination</v>
      </c>
    </row>
    <row r="812" spans="3:21" outlineLevel="1">
      <c r="C812" s="91" t="s">
        <v>89</v>
      </c>
      <c r="D812" s="97" t="s">
        <v>189</v>
      </c>
      <c r="F812" s="114">
        <f>SUMPRODUCT(F813:F847,subscription.split.segment.3)</f>
        <v>0</v>
      </c>
      <c r="G812" s="114">
        <f t="shared" ref="G812:M812" si="137">SUMPRODUCT(G813:G847,subscription.split.segment.3)</f>
        <v>0</v>
      </c>
      <c r="H812" s="114">
        <f t="shared" si="137"/>
        <v>0</v>
      </c>
      <c r="I812" s="114">
        <f t="shared" si="137"/>
        <v>0</v>
      </c>
      <c r="J812" s="114">
        <f t="shared" si="137"/>
        <v>0</v>
      </c>
      <c r="K812" s="114">
        <f t="shared" si="137"/>
        <v>0</v>
      </c>
      <c r="L812" s="114">
        <f t="shared" si="137"/>
        <v>0</v>
      </c>
      <c r="M812" s="114">
        <f t="shared" si="137"/>
        <v>0</v>
      </c>
      <c r="O812" s="114">
        <f t="shared" ref="O812:U812" si="138">SUMPRODUCT(O813:O847,subscription.split.segment.3)</f>
        <v>0</v>
      </c>
      <c r="P812" s="114">
        <f t="shared" si="138"/>
        <v>0</v>
      </c>
      <c r="Q812" s="114">
        <f t="shared" si="138"/>
        <v>0</v>
      </c>
      <c r="R812" s="114">
        <f t="shared" si="138"/>
        <v>0</v>
      </c>
      <c r="S812" s="114">
        <f t="shared" si="138"/>
        <v>0</v>
      </c>
      <c r="T812" s="114">
        <f t="shared" si="138"/>
        <v>0</v>
      </c>
      <c r="U812" s="114">
        <f t="shared" si="138"/>
        <v>0</v>
      </c>
    </row>
    <row r="813" spans="3:21" outlineLevel="1">
      <c r="C813" s="73" t="str">
        <f t="array" ref="C813:C847">offers.segment.3</f>
        <v>SpareOfferC1</v>
      </c>
      <c r="D813" s="97" t="s">
        <v>189</v>
      </c>
      <c r="F813" s="148">
        <f>SUM(G813:M813)+SUM(O813:U813)</f>
        <v>0</v>
      </c>
      <c r="G813" s="102">
        <f t="shared" ref="G813:G847" si="139">(G$26+$M$26)*G657</f>
        <v>0</v>
      </c>
      <c r="H813" s="167">
        <f t="shared" ref="H813:M822" si="140">H$26*H657</f>
        <v>0</v>
      </c>
      <c r="I813" s="167">
        <f t="shared" si="140"/>
        <v>0</v>
      </c>
      <c r="J813" s="167">
        <f t="shared" si="140"/>
        <v>0</v>
      </c>
      <c r="K813" s="167">
        <f t="shared" si="140"/>
        <v>0</v>
      </c>
      <c r="L813" s="167">
        <f t="shared" si="140"/>
        <v>0</v>
      </c>
      <c r="M813" s="167">
        <f t="shared" si="140"/>
        <v>0</v>
      </c>
      <c r="O813" s="102">
        <f t="shared" ref="O813:O847" si="141">(O$26+$U$26)*O657</f>
        <v>0</v>
      </c>
      <c r="P813" s="167">
        <f t="shared" ref="P813:U822" si="142">P$26*P657</f>
        <v>0</v>
      </c>
      <c r="Q813" s="167">
        <f t="shared" si="142"/>
        <v>0</v>
      </c>
      <c r="R813" s="167">
        <f t="shared" si="142"/>
        <v>0</v>
      </c>
      <c r="S813" s="167">
        <f t="shared" si="142"/>
        <v>0</v>
      </c>
      <c r="T813" s="167">
        <f t="shared" si="142"/>
        <v>0</v>
      </c>
      <c r="U813" s="167">
        <f t="shared" si="142"/>
        <v>0</v>
      </c>
    </row>
    <row r="814" spans="3:21" hidden="1" outlineLevel="2">
      <c r="C814" s="73" t="str">
        <v>SpareOfferC2</v>
      </c>
      <c r="D814" s="97" t="s">
        <v>189</v>
      </c>
      <c r="F814" s="148">
        <f t="shared" ref="F814:F847" si="143">SUM(G814:M814)+SUM(O814:U814)</f>
        <v>0</v>
      </c>
      <c r="G814" s="102">
        <f t="shared" si="139"/>
        <v>0</v>
      </c>
      <c r="H814" s="167">
        <f t="shared" si="140"/>
        <v>0</v>
      </c>
      <c r="I814" s="167">
        <f t="shared" si="140"/>
        <v>0</v>
      </c>
      <c r="J814" s="167">
        <f t="shared" si="140"/>
        <v>0</v>
      </c>
      <c r="K814" s="167">
        <f t="shared" si="140"/>
        <v>0</v>
      </c>
      <c r="L814" s="167">
        <f t="shared" si="140"/>
        <v>0</v>
      </c>
      <c r="M814" s="167">
        <f t="shared" si="140"/>
        <v>0</v>
      </c>
      <c r="O814" s="102">
        <f t="shared" si="141"/>
        <v>0</v>
      </c>
      <c r="P814" s="167">
        <f t="shared" si="142"/>
        <v>0</v>
      </c>
      <c r="Q814" s="167">
        <f t="shared" si="142"/>
        <v>0</v>
      </c>
      <c r="R814" s="167">
        <f t="shared" si="142"/>
        <v>0</v>
      </c>
      <c r="S814" s="167">
        <f t="shared" si="142"/>
        <v>0</v>
      </c>
      <c r="T814" s="167">
        <f t="shared" si="142"/>
        <v>0</v>
      </c>
      <c r="U814" s="167">
        <f t="shared" si="142"/>
        <v>0</v>
      </c>
    </row>
    <row r="815" spans="3:21" hidden="1" outlineLevel="2">
      <c r="C815" s="73" t="str">
        <v>SpareOfferC3</v>
      </c>
      <c r="D815" s="97" t="s">
        <v>189</v>
      </c>
      <c r="F815" s="148">
        <f t="shared" si="143"/>
        <v>0</v>
      </c>
      <c r="G815" s="102">
        <f t="shared" si="139"/>
        <v>0</v>
      </c>
      <c r="H815" s="167">
        <f t="shared" si="140"/>
        <v>0</v>
      </c>
      <c r="I815" s="167">
        <f t="shared" si="140"/>
        <v>0</v>
      </c>
      <c r="J815" s="167">
        <f t="shared" si="140"/>
        <v>0</v>
      </c>
      <c r="K815" s="167">
        <f t="shared" si="140"/>
        <v>0</v>
      </c>
      <c r="L815" s="167">
        <f t="shared" si="140"/>
        <v>0</v>
      </c>
      <c r="M815" s="167">
        <f t="shared" si="140"/>
        <v>0</v>
      </c>
      <c r="O815" s="102">
        <f t="shared" si="141"/>
        <v>0</v>
      </c>
      <c r="P815" s="167">
        <f t="shared" si="142"/>
        <v>0</v>
      </c>
      <c r="Q815" s="167">
        <f t="shared" si="142"/>
        <v>0</v>
      </c>
      <c r="R815" s="167">
        <f t="shared" si="142"/>
        <v>0</v>
      </c>
      <c r="S815" s="167">
        <f t="shared" si="142"/>
        <v>0</v>
      </c>
      <c r="T815" s="167">
        <f t="shared" si="142"/>
        <v>0</v>
      </c>
      <c r="U815" s="167">
        <f t="shared" si="142"/>
        <v>0</v>
      </c>
    </row>
    <row r="816" spans="3:21" hidden="1" outlineLevel="2">
      <c r="C816" s="73" t="str">
        <v>SpareOfferC4</v>
      </c>
      <c r="D816" s="97" t="s">
        <v>189</v>
      </c>
      <c r="F816" s="148">
        <f t="shared" si="143"/>
        <v>0</v>
      </c>
      <c r="G816" s="102">
        <f t="shared" si="139"/>
        <v>0</v>
      </c>
      <c r="H816" s="167">
        <f t="shared" si="140"/>
        <v>0</v>
      </c>
      <c r="I816" s="167">
        <f t="shared" si="140"/>
        <v>0</v>
      </c>
      <c r="J816" s="167">
        <f t="shared" si="140"/>
        <v>0</v>
      </c>
      <c r="K816" s="167">
        <f t="shared" si="140"/>
        <v>0</v>
      </c>
      <c r="L816" s="167">
        <f t="shared" si="140"/>
        <v>0</v>
      </c>
      <c r="M816" s="167">
        <f t="shared" si="140"/>
        <v>0</v>
      </c>
      <c r="O816" s="102">
        <f t="shared" si="141"/>
        <v>0</v>
      </c>
      <c r="P816" s="167">
        <f t="shared" si="142"/>
        <v>0</v>
      </c>
      <c r="Q816" s="167">
        <f t="shared" si="142"/>
        <v>0</v>
      </c>
      <c r="R816" s="167">
        <f t="shared" si="142"/>
        <v>0</v>
      </c>
      <c r="S816" s="167">
        <f t="shared" si="142"/>
        <v>0</v>
      </c>
      <c r="T816" s="167">
        <f t="shared" si="142"/>
        <v>0</v>
      </c>
      <c r="U816" s="167">
        <f t="shared" si="142"/>
        <v>0</v>
      </c>
    </row>
    <row r="817" spans="3:21" hidden="1" outlineLevel="2">
      <c r="C817" s="73" t="str">
        <v>SpareOfferC5</v>
      </c>
      <c r="D817" s="97" t="s">
        <v>189</v>
      </c>
      <c r="F817" s="148">
        <f t="shared" si="143"/>
        <v>0</v>
      </c>
      <c r="G817" s="102">
        <f t="shared" si="139"/>
        <v>0</v>
      </c>
      <c r="H817" s="167">
        <f t="shared" si="140"/>
        <v>0</v>
      </c>
      <c r="I817" s="167">
        <f t="shared" si="140"/>
        <v>0</v>
      </c>
      <c r="J817" s="167">
        <f t="shared" si="140"/>
        <v>0</v>
      </c>
      <c r="K817" s="167">
        <f t="shared" si="140"/>
        <v>0</v>
      </c>
      <c r="L817" s="167">
        <f t="shared" si="140"/>
        <v>0</v>
      </c>
      <c r="M817" s="167">
        <f t="shared" si="140"/>
        <v>0</v>
      </c>
      <c r="O817" s="102">
        <f t="shared" si="141"/>
        <v>0</v>
      </c>
      <c r="P817" s="167">
        <f t="shared" si="142"/>
        <v>0</v>
      </c>
      <c r="Q817" s="167">
        <f t="shared" si="142"/>
        <v>0</v>
      </c>
      <c r="R817" s="167">
        <f t="shared" si="142"/>
        <v>0</v>
      </c>
      <c r="S817" s="167">
        <f t="shared" si="142"/>
        <v>0</v>
      </c>
      <c r="T817" s="167">
        <f t="shared" si="142"/>
        <v>0</v>
      </c>
      <c r="U817" s="167">
        <f t="shared" si="142"/>
        <v>0</v>
      </c>
    </row>
    <row r="818" spans="3:21" hidden="1" outlineLevel="2">
      <c r="C818" s="73" t="str">
        <v>SpareOfferC6</v>
      </c>
      <c r="D818" s="97" t="s">
        <v>189</v>
      </c>
      <c r="F818" s="148">
        <f t="shared" si="143"/>
        <v>0</v>
      </c>
      <c r="G818" s="102">
        <f t="shared" si="139"/>
        <v>0</v>
      </c>
      <c r="H818" s="167">
        <f t="shared" si="140"/>
        <v>0</v>
      </c>
      <c r="I818" s="167">
        <f t="shared" si="140"/>
        <v>0</v>
      </c>
      <c r="J818" s="167">
        <f t="shared" si="140"/>
        <v>0</v>
      </c>
      <c r="K818" s="167">
        <f t="shared" si="140"/>
        <v>0</v>
      </c>
      <c r="L818" s="167">
        <f t="shared" si="140"/>
        <v>0</v>
      </c>
      <c r="M818" s="167">
        <f t="shared" si="140"/>
        <v>0</v>
      </c>
      <c r="O818" s="102">
        <f t="shared" si="141"/>
        <v>0</v>
      </c>
      <c r="P818" s="167">
        <f t="shared" si="142"/>
        <v>0</v>
      </c>
      <c r="Q818" s="167">
        <f t="shared" si="142"/>
        <v>0</v>
      </c>
      <c r="R818" s="167">
        <f t="shared" si="142"/>
        <v>0</v>
      </c>
      <c r="S818" s="167">
        <f t="shared" si="142"/>
        <v>0</v>
      </c>
      <c r="T818" s="167">
        <f t="shared" si="142"/>
        <v>0</v>
      </c>
      <c r="U818" s="167">
        <f t="shared" si="142"/>
        <v>0</v>
      </c>
    </row>
    <row r="819" spans="3:21" hidden="1" outlineLevel="2">
      <c r="C819" s="73" t="str">
        <v>SpareOfferC7</v>
      </c>
      <c r="D819" s="97" t="s">
        <v>189</v>
      </c>
      <c r="F819" s="148">
        <f t="shared" si="143"/>
        <v>0</v>
      </c>
      <c r="G819" s="102">
        <f t="shared" si="139"/>
        <v>0</v>
      </c>
      <c r="H819" s="167">
        <f t="shared" si="140"/>
        <v>0</v>
      </c>
      <c r="I819" s="167">
        <f t="shared" si="140"/>
        <v>0</v>
      </c>
      <c r="J819" s="167">
        <f t="shared" si="140"/>
        <v>0</v>
      </c>
      <c r="K819" s="167">
        <f t="shared" si="140"/>
        <v>0</v>
      </c>
      <c r="L819" s="167">
        <f t="shared" si="140"/>
        <v>0</v>
      </c>
      <c r="M819" s="167">
        <f t="shared" si="140"/>
        <v>0</v>
      </c>
      <c r="O819" s="102">
        <f t="shared" si="141"/>
        <v>0</v>
      </c>
      <c r="P819" s="167">
        <f t="shared" si="142"/>
        <v>0</v>
      </c>
      <c r="Q819" s="167">
        <f t="shared" si="142"/>
        <v>0</v>
      </c>
      <c r="R819" s="167">
        <f t="shared" si="142"/>
        <v>0</v>
      </c>
      <c r="S819" s="167">
        <f t="shared" si="142"/>
        <v>0</v>
      </c>
      <c r="T819" s="167">
        <f t="shared" si="142"/>
        <v>0</v>
      </c>
      <c r="U819" s="167">
        <f t="shared" si="142"/>
        <v>0</v>
      </c>
    </row>
    <row r="820" spans="3:21" hidden="1" outlineLevel="2">
      <c r="C820" s="73" t="str">
        <v>SpareOfferC8</v>
      </c>
      <c r="D820" s="97" t="s">
        <v>189</v>
      </c>
      <c r="F820" s="148">
        <f t="shared" si="143"/>
        <v>0</v>
      </c>
      <c r="G820" s="102">
        <f t="shared" si="139"/>
        <v>0</v>
      </c>
      <c r="H820" s="167">
        <f t="shared" si="140"/>
        <v>0</v>
      </c>
      <c r="I820" s="167">
        <f t="shared" si="140"/>
        <v>0</v>
      </c>
      <c r="J820" s="167">
        <f t="shared" si="140"/>
        <v>0</v>
      </c>
      <c r="K820" s="167">
        <f t="shared" si="140"/>
        <v>0</v>
      </c>
      <c r="L820" s="167">
        <f t="shared" si="140"/>
        <v>0</v>
      </c>
      <c r="M820" s="167">
        <f t="shared" si="140"/>
        <v>0</v>
      </c>
      <c r="O820" s="102">
        <f t="shared" si="141"/>
        <v>0</v>
      </c>
      <c r="P820" s="167">
        <f t="shared" si="142"/>
        <v>0</v>
      </c>
      <c r="Q820" s="167">
        <f t="shared" si="142"/>
        <v>0</v>
      </c>
      <c r="R820" s="167">
        <f t="shared" si="142"/>
        <v>0</v>
      </c>
      <c r="S820" s="167">
        <f t="shared" si="142"/>
        <v>0</v>
      </c>
      <c r="T820" s="167">
        <f t="shared" si="142"/>
        <v>0</v>
      </c>
      <c r="U820" s="167">
        <f t="shared" si="142"/>
        <v>0</v>
      </c>
    </row>
    <row r="821" spans="3:21" hidden="1" outlineLevel="2">
      <c r="C821" s="73" t="str">
        <v>SpareOfferC9</v>
      </c>
      <c r="D821" s="97" t="s">
        <v>189</v>
      </c>
      <c r="F821" s="148">
        <f t="shared" si="143"/>
        <v>0</v>
      </c>
      <c r="G821" s="102">
        <f t="shared" si="139"/>
        <v>0</v>
      </c>
      <c r="H821" s="167">
        <f t="shared" si="140"/>
        <v>0</v>
      </c>
      <c r="I821" s="167">
        <f t="shared" si="140"/>
        <v>0</v>
      </c>
      <c r="J821" s="167">
        <f t="shared" si="140"/>
        <v>0</v>
      </c>
      <c r="K821" s="167">
        <f t="shared" si="140"/>
        <v>0</v>
      </c>
      <c r="L821" s="167">
        <f t="shared" si="140"/>
        <v>0</v>
      </c>
      <c r="M821" s="167">
        <f t="shared" si="140"/>
        <v>0</v>
      </c>
      <c r="O821" s="102">
        <f t="shared" si="141"/>
        <v>0</v>
      </c>
      <c r="P821" s="167">
        <f t="shared" si="142"/>
        <v>0</v>
      </c>
      <c r="Q821" s="167">
        <f t="shared" si="142"/>
        <v>0</v>
      </c>
      <c r="R821" s="167">
        <f t="shared" si="142"/>
        <v>0</v>
      </c>
      <c r="S821" s="167">
        <f t="shared" si="142"/>
        <v>0</v>
      </c>
      <c r="T821" s="167">
        <f t="shared" si="142"/>
        <v>0</v>
      </c>
      <c r="U821" s="167">
        <f t="shared" si="142"/>
        <v>0</v>
      </c>
    </row>
    <row r="822" spans="3:21" hidden="1" outlineLevel="2">
      <c r="C822" s="73" t="str">
        <v>SpareOfferC10</v>
      </c>
      <c r="D822" s="97" t="s">
        <v>189</v>
      </c>
      <c r="F822" s="148">
        <f t="shared" si="143"/>
        <v>0</v>
      </c>
      <c r="G822" s="102">
        <f t="shared" si="139"/>
        <v>0</v>
      </c>
      <c r="H822" s="167">
        <f t="shared" si="140"/>
        <v>0</v>
      </c>
      <c r="I822" s="167">
        <f t="shared" si="140"/>
        <v>0</v>
      </c>
      <c r="J822" s="167">
        <f t="shared" si="140"/>
        <v>0</v>
      </c>
      <c r="K822" s="167">
        <f t="shared" si="140"/>
        <v>0</v>
      </c>
      <c r="L822" s="167">
        <f t="shared" si="140"/>
        <v>0</v>
      </c>
      <c r="M822" s="167">
        <f t="shared" si="140"/>
        <v>0</v>
      </c>
      <c r="O822" s="102">
        <f t="shared" si="141"/>
        <v>0</v>
      </c>
      <c r="P822" s="167">
        <f t="shared" si="142"/>
        <v>0</v>
      </c>
      <c r="Q822" s="167">
        <f t="shared" si="142"/>
        <v>0</v>
      </c>
      <c r="R822" s="167">
        <f t="shared" si="142"/>
        <v>0</v>
      </c>
      <c r="S822" s="167">
        <f t="shared" si="142"/>
        <v>0</v>
      </c>
      <c r="T822" s="167">
        <f t="shared" si="142"/>
        <v>0</v>
      </c>
      <c r="U822" s="167">
        <f t="shared" si="142"/>
        <v>0</v>
      </c>
    </row>
    <row r="823" spans="3:21" hidden="1" outlineLevel="2">
      <c r="C823" s="73" t="str">
        <v>SpareOfferC11</v>
      </c>
      <c r="D823" s="97" t="s">
        <v>189</v>
      </c>
      <c r="F823" s="148">
        <f t="shared" si="143"/>
        <v>0</v>
      </c>
      <c r="G823" s="102">
        <f t="shared" si="139"/>
        <v>0</v>
      </c>
      <c r="H823" s="167">
        <f t="shared" ref="H823:M832" si="144">H$26*H667</f>
        <v>0</v>
      </c>
      <c r="I823" s="167">
        <f t="shared" si="144"/>
        <v>0</v>
      </c>
      <c r="J823" s="167">
        <f t="shared" si="144"/>
        <v>0</v>
      </c>
      <c r="K823" s="167">
        <f t="shared" si="144"/>
        <v>0</v>
      </c>
      <c r="L823" s="167">
        <f t="shared" si="144"/>
        <v>0</v>
      </c>
      <c r="M823" s="167">
        <f t="shared" si="144"/>
        <v>0</v>
      </c>
      <c r="O823" s="102">
        <f t="shared" si="141"/>
        <v>0</v>
      </c>
      <c r="P823" s="167">
        <f t="shared" ref="P823:U832" si="145">P$26*P667</f>
        <v>0</v>
      </c>
      <c r="Q823" s="167">
        <f t="shared" si="145"/>
        <v>0</v>
      </c>
      <c r="R823" s="167">
        <f t="shared" si="145"/>
        <v>0</v>
      </c>
      <c r="S823" s="167">
        <f t="shared" si="145"/>
        <v>0</v>
      </c>
      <c r="T823" s="167">
        <f t="shared" si="145"/>
        <v>0</v>
      </c>
      <c r="U823" s="167">
        <f t="shared" si="145"/>
        <v>0</v>
      </c>
    </row>
    <row r="824" spans="3:21" hidden="1" outlineLevel="2">
      <c r="C824" s="73" t="str">
        <v>SpareOfferC12</v>
      </c>
      <c r="D824" s="97" t="s">
        <v>189</v>
      </c>
      <c r="F824" s="148">
        <f t="shared" si="143"/>
        <v>0</v>
      </c>
      <c r="G824" s="102">
        <f t="shared" si="139"/>
        <v>0</v>
      </c>
      <c r="H824" s="167">
        <f t="shared" si="144"/>
        <v>0</v>
      </c>
      <c r="I824" s="167">
        <f t="shared" si="144"/>
        <v>0</v>
      </c>
      <c r="J824" s="167">
        <f t="shared" si="144"/>
        <v>0</v>
      </c>
      <c r="K824" s="167">
        <f t="shared" si="144"/>
        <v>0</v>
      </c>
      <c r="L824" s="167">
        <f t="shared" si="144"/>
        <v>0</v>
      </c>
      <c r="M824" s="167">
        <f t="shared" si="144"/>
        <v>0</v>
      </c>
      <c r="O824" s="102">
        <f t="shared" si="141"/>
        <v>0</v>
      </c>
      <c r="P824" s="167">
        <f t="shared" si="145"/>
        <v>0</v>
      </c>
      <c r="Q824" s="167">
        <f t="shared" si="145"/>
        <v>0</v>
      </c>
      <c r="R824" s="167">
        <f t="shared" si="145"/>
        <v>0</v>
      </c>
      <c r="S824" s="167">
        <f t="shared" si="145"/>
        <v>0</v>
      </c>
      <c r="T824" s="167">
        <f t="shared" si="145"/>
        <v>0</v>
      </c>
      <c r="U824" s="167">
        <f t="shared" si="145"/>
        <v>0</v>
      </c>
    </row>
    <row r="825" spans="3:21" hidden="1" outlineLevel="2">
      <c r="C825" s="73" t="str">
        <v>SpareOfferC13</v>
      </c>
      <c r="D825" s="97" t="s">
        <v>189</v>
      </c>
      <c r="F825" s="148">
        <f t="shared" si="143"/>
        <v>0</v>
      </c>
      <c r="G825" s="102">
        <f t="shared" si="139"/>
        <v>0</v>
      </c>
      <c r="H825" s="167">
        <f t="shared" si="144"/>
        <v>0</v>
      </c>
      <c r="I825" s="167">
        <f t="shared" si="144"/>
        <v>0</v>
      </c>
      <c r="J825" s="167">
        <f t="shared" si="144"/>
        <v>0</v>
      </c>
      <c r="K825" s="167">
        <f t="shared" si="144"/>
        <v>0</v>
      </c>
      <c r="L825" s="167">
        <f t="shared" si="144"/>
        <v>0</v>
      </c>
      <c r="M825" s="167">
        <f t="shared" si="144"/>
        <v>0</v>
      </c>
      <c r="O825" s="102">
        <f t="shared" si="141"/>
        <v>0</v>
      </c>
      <c r="P825" s="167">
        <f t="shared" si="145"/>
        <v>0</v>
      </c>
      <c r="Q825" s="167">
        <f t="shared" si="145"/>
        <v>0</v>
      </c>
      <c r="R825" s="167">
        <f t="shared" si="145"/>
        <v>0</v>
      </c>
      <c r="S825" s="167">
        <f t="shared" si="145"/>
        <v>0</v>
      </c>
      <c r="T825" s="167">
        <f t="shared" si="145"/>
        <v>0</v>
      </c>
      <c r="U825" s="167">
        <f t="shared" si="145"/>
        <v>0</v>
      </c>
    </row>
    <row r="826" spans="3:21" hidden="1" outlineLevel="2">
      <c r="C826" s="73" t="str">
        <v>SpareOfferC14</v>
      </c>
      <c r="D826" s="97" t="s">
        <v>189</v>
      </c>
      <c r="F826" s="148">
        <f t="shared" si="143"/>
        <v>0</v>
      </c>
      <c r="G826" s="102">
        <f t="shared" si="139"/>
        <v>0</v>
      </c>
      <c r="H826" s="167">
        <f t="shared" si="144"/>
        <v>0</v>
      </c>
      <c r="I826" s="167">
        <f t="shared" si="144"/>
        <v>0</v>
      </c>
      <c r="J826" s="167">
        <f t="shared" si="144"/>
        <v>0</v>
      </c>
      <c r="K826" s="167">
        <f t="shared" si="144"/>
        <v>0</v>
      </c>
      <c r="L826" s="167">
        <f t="shared" si="144"/>
        <v>0</v>
      </c>
      <c r="M826" s="167">
        <f t="shared" si="144"/>
        <v>0</v>
      </c>
      <c r="O826" s="102">
        <f t="shared" si="141"/>
        <v>0</v>
      </c>
      <c r="P826" s="167">
        <f t="shared" si="145"/>
        <v>0</v>
      </c>
      <c r="Q826" s="167">
        <f t="shared" si="145"/>
        <v>0</v>
      </c>
      <c r="R826" s="167">
        <f t="shared" si="145"/>
        <v>0</v>
      </c>
      <c r="S826" s="167">
        <f t="shared" si="145"/>
        <v>0</v>
      </c>
      <c r="T826" s="167">
        <f t="shared" si="145"/>
        <v>0</v>
      </c>
      <c r="U826" s="167">
        <f t="shared" si="145"/>
        <v>0</v>
      </c>
    </row>
    <row r="827" spans="3:21" hidden="1" outlineLevel="2">
      <c r="C827" s="73" t="str">
        <v>SpareOfferC15</v>
      </c>
      <c r="D827" s="97" t="s">
        <v>189</v>
      </c>
      <c r="F827" s="148">
        <f t="shared" si="143"/>
        <v>0</v>
      </c>
      <c r="G827" s="102">
        <f t="shared" si="139"/>
        <v>0</v>
      </c>
      <c r="H827" s="167">
        <f t="shared" si="144"/>
        <v>0</v>
      </c>
      <c r="I827" s="167">
        <f t="shared" si="144"/>
        <v>0</v>
      </c>
      <c r="J827" s="167">
        <f t="shared" si="144"/>
        <v>0</v>
      </c>
      <c r="K827" s="167">
        <f t="shared" si="144"/>
        <v>0</v>
      </c>
      <c r="L827" s="167">
        <f t="shared" si="144"/>
        <v>0</v>
      </c>
      <c r="M827" s="167">
        <f t="shared" si="144"/>
        <v>0</v>
      </c>
      <c r="O827" s="102">
        <f t="shared" si="141"/>
        <v>0</v>
      </c>
      <c r="P827" s="167">
        <f t="shared" si="145"/>
        <v>0</v>
      </c>
      <c r="Q827" s="167">
        <f t="shared" si="145"/>
        <v>0</v>
      </c>
      <c r="R827" s="167">
        <f t="shared" si="145"/>
        <v>0</v>
      </c>
      <c r="S827" s="167">
        <f t="shared" si="145"/>
        <v>0</v>
      </c>
      <c r="T827" s="167">
        <f t="shared" si="145"/>
        <v>0</v>
      </c>
      <c r="U827" s="167">
        <f t="shared" si="145"/>
        <v>0</v>
      </c>
    </row>
    <row r="828" spans="3:21" hidden="1" outlineLevel="2">
      <c r="C828" s="73" t="str">
        <v>SpareOfferC16</v>
      </c>
      <c r="D828" s="97" t="s">
        <v>189</v>
      </c>
      <c r="F828" s="148">
        <f t="shared" si="143"/>
        <v>0</v>
      </c>
      <c r="G828" s="102">
        <f t="shared" si="139"/>
        <v>0</v>
      </c>
      <c r="H828" s="167">
        <f t="shared" si="144"/>
        <v>0</v>
      </c>
      <c r="I828" s="167">
        <f t="shared" si="144"/>
        <v>0</v>
      </c>
      <c r="J828" s="167">
        <f t="shared" si="144"/>
        <v>0</v>
      </c>
      <c r="K828" s="167">
        <f t="shared" si="144"/>
        <v>0</v>
      </c>
      <c r="L828" s="167">
        <f t="shared" si="144"/>
        <v>0</v>
      </c>
      <c r="M828" s="167">
        <f t="shared" si="144"/>
        <v>0</v>
      </c>
      <c r="O828" s="102">
        <f t="shared" si="141"/>
        <v>0</v>
      </c>
      <c r="P828" s="167">
        <f t="shared" si="145"/>
        <v>0</v>
      </c>
      <c r="Q828" s="167">
        <f t="shared" si="145"/>
        <v>0</v>
      </c>
      <c r="R828" s="167">
        <f t="shared" si="145"/>
        <v>0</v>
      </c>
      <c r="S828" s="167">
        <f t="shared" si="145"/>
        <v>0</v>
      </c>
      <c r="T828" s="167">
        <f t="shared" si="145"/>
        <v>0</v>
      </c>
      <c r="U828" s="167">
        <f t="shared" si="145"/>
        <v>0</v>
      </c>
    </row>
    <row r="829" spans="3:21" hidden="1" outlineLevel="2">
      <c r="C829" s="73" t="str">
        <v>SpareOfferC17</v>
      </c>
      <c r="D829" s="97" t="s">
        <v>189</v>
      </c>
      <c r="F829" s="148">
        <f t="shared" si="143"/>
        <v>0</v>
      </c>
      <c r="G829" s="102">
        <f t="shared" si="139"/>
        <v>0</v>
      </c>
      <c r="H829" s="167">
        <f t="shared" si="144"/>
        <v>0</v>
      </c>
      <c r="I829" s="167">
        <f t="shared" si="144"/>
        <v>0</v>
      </c>
      <c r="J829" s="167">
        <f t="shared" si="144"/>
        <v>0</v>
      </c>
      <c r="K829" s="167">
        <f t="shared" si="144"/>
        <v>0</v>
      </c>
      <c r="L829" s="167">
        <f t="shared" si="144"/>
        <v>0</v>
      </c>
      <c r="M829" s="167">
        <f t="shared" si="144"/>
        <v>0</v>
      </c>
      <c r="O829" s="102">
        <f t="shared" si="141"/>
        <v>0</v>
      </c>
      <c r="P829" s="167">
        <f t="shared" si="145"/>
        <v>0</v>
      </c>
      <c r="Q829" s="167">
        <f t="shared" si="145"/>
        <v>0</v>
      </c>
      <c r="R829" s="167">
        <f t="shared" si="145"/>
        <v>0</v>
      </c>
      <c r="S829" s="167">
        <f t="shared" si="145"/>
        <v>0</v>
      </c>
      <c r="T829" s="167">
        <f t="shared" si="145"/>
        <v>0</v>
      </c>
      <c r="U829" s="167">
        <f t="shared" si="145"/>
        <v>0</v>
      </c>
    </row>
    <row r="830" spans="3:21" hidden="1" outlineLevel="2">
      <c r="C830" s="73" t="str">
        <v>SpareOfferC18</v>
      </c>
      <c r="D830" s="97" t="s">
        <v>189</v>
      </c>
      <c r="F830" s="148">
        <f t="shared" si="143"/>
        <v>0</v>
      </c>
      <c r="G830" s="102">
        <f t="shared" si="139"/>
        <v>0</v>
      </c>
      <c r="H830" s="167">
        <f t="shared" si="144"/>
        <v>0</v>
      </c>
      <c r="I830" s="167">
        <f t="shared" si="144"/>
        <v>0</v>
      </c>
      <c r="J830" s="167">
        <f t="shared" si="144"/>
        <v>0</v>
      </c>
      <c r="K830" s="167">
        <f t="shared" si="144"/>
        <v>0</v>
      </c>
      <c r="L830" s="167">
        <f t="shared" si="144"/>
        <v>0</v>
      </c>
      <c r="M830" s="167">
        <f t="shared" si="144"/>
        <v>0</v>
      </c>
      <c r="O830" s="102">
        <f t="shared" si="141"/>
        <v>0</v>
      </c>
      <c r="P830" s="167">
        <f t="shared" si="145"/>
        <v>0</v>
      </c>
      <c r="Q830" s="167">
        <f t="shared" si="145"/>
        <v>0</v>
      </c>
      <c r="R830" s="167">
        <f t="shared" si="145"/>
        <v>0</v>
      </c>
      <c r="S830" s="167">
        <f t="shared" si="145"/>
        <v>0</v>
      </c>
      <c r="T830" s="167">
        <f t="shared" si="145"/>
        <v>0</v>
      </c>
      <c r="U830" s="167">
        <f t="shared" si="145"/>
        <v>0</v>
      </c>
    </row>
    <row r="831" spans="3:21" hidden="1" outlineLevel="2">
      <c r="C831" s="73" t="str">
        <v>SpareOfferC19</v>
      </c>
      <c r="D831" s="97" t="s">
        <v>189</v>
      </c>
      <c r="F831" s="148">
        <f t="shared" si="143"/>
        <v>0</v>
      </c>
      <c r="G831" s="102">
        <f t="shared" si="139"/>
        <v>0</v>
      </c>
      <c r="H831" s="167">
        <f t="shared" si="144"/>
        <v>0</v>
      </c>
      <c r="I831" s="167">
        <f t="shared" si="144"/>
        <v>0</v>
      </c>
      <c r="J831" s="167">
        <f t="shared" si="144"/>
        <v>0</v>
      </c>
      <c r="K831" s="167">
        <f t="shared" si="144"/>
        <v>0</v>
      </c>
      <c r="L831" s="167">
        <f t="shared" si="144"/>
        <v>0</v>
      </c>
      <c r="M831" s="167">
        <f t="shared" si="144"/>
        <v>0</v>
      </c>
      <c r="O831" s="102">
        <f t="shared" si="141"/>
        <v>0</v>
      </c>
      <c r="P831" s="167">
        <f t="shared" si="145"/>
        <v>0</v>
      </c>
      <c r="Q831" s="167">
        <f t="shared" si="145"/>
        <v>0</v>
      </c>
      <c r="R831" s="167">
        <f t="shared" si="145"/>
        <v>0</v>
      </c>
      <c r="S831" s="167">
        <f t="shared" si="145"/>
        <v>0</v>
      </c>
      <c r="T831" s="167">
        <f t="shared" si="145"/>
        <v>0</v>
      </c>
      <c r="U831" s="167">
        <f t="shared" si="145"/>
        <v>0</v>
      </c>
    </row>
    <row r="832" spans="3:21" hidden="1" outlineLevel="2">
      <c r="C832" s="73" t="str">
        <v>SpareOfferC20</v>
      </c>
      <c r="D832" s="97" t="s">
        <v>189</v>
      </c>
      <c r="F832" s="148">
        <f t="shared" si="143"/>
        <v>0</v>
      </c>
      <c r="G832" s="102">
        <f t="shared" si="139"/>
        <v>0</v>
      </c>
      <c r="H832" s="167">
        <f t="shared" si="144"/>
        <v>0</v>
      </c>
      <c r="I832" s="167">
        <f t="shared" si="144"/>
        <v>0</v>
      </c>
      <c r="J832" s="167">
        <f t="shared" si="144"/>
        <v>0</v>
      </c>
      <c r="K832" s="167">
        <f t="shared" si="144"/>
        <v>0</v>
      </c>
      <c r="L832" s="167">
        <f t="shared" si="144"/>
        <v>0</v>
      </c>
      <c r="M832" s="167">
        <f t="shared" si="144"/>
        <v>0</v>
      </c>
      <c r="O832" s="102">
        <f t="shared" si="141"/>
        <v>0</v>
      </c>
      <c r="P832" s="167">
        <f t="shared" si="145"/>
        <v>0</v>
      </c>
      <c r="Q832" s="167">
        <f t="shared" si="145"/>
        <v>0</v>
      </c>
      <c r="R832" s="167">
        <f t="shared" si="145"/>
        <v>0</v>
      </c>
      <c r="S832" s="167">
        <f t="shared" si="145"/>
        <v>0</v>
      </c>
      <c r="T832" s="167">
        <f t="shared" si="145"/>
        <v>0</v>
      </c>
      <c r="U832" s="167">
        <f t="shared" si="145"/>
        <v>0</v>
      </c>
    </row>
    <row r="833" spans="3:21" hidden="1" outlineLevel="2">
      <c r="C833" s="73" t="str">
        <v>SpareOfferC21</v>
      </c>
      <c r="D833" s="97" t="s">
        <v>189</v>
      </c>
      <c r="F833" s="148">
        <f t="shared" si="143"/>
        <v>0</v>
      </c>
      <c r="G833" s="102">
        <f t="shared" si="139"/>
        <v>0</v>
      </c>
      <c r="H833" s="167">
        <f t="shared" ref="H833:M842" si="146">H$26*H677</f>
        <v>0</v>
      </c>
      <c r="I833" s="167">
        <f t="shared" si="146"/>
        <v>0</v>
      </c>
      <c r="J833" s="167">
        <f t="shared" si="146"/>
        <v>0</v>
      </c>
      <c r="K833" s="167">
        <f t="shared" si="146"/>
        <v>0</v>
      </c>
      <c r="L833" s="167">
        <f t="shared" si="146"/>
        <v>0</v>
      </c>
      <c r="M833" s="167">
        <f t="shared" si="146"/>
        <v>0</v>
      </c>
      <c r="O833" s="102">
        <f t="shared" si="141"/>
        <v>0</v>
      </c>
      <c r="P833" s="167">
        <f t="shared" ref="P833:U842" si="147">P$26*P677</f>
        <v>0</v>
      </c>
      <c r="Q833" s="167">
        <f t="shared" si="147"/>
        <v>0</v>
      </c>
      <c r="R833" s="167">
        <f t="shared" si="147"/>
        <v>0</v>
      </c>
      <c r="S833" s="167">
        <f t="shared" si="147"/>
        <v>0</v>
      </c>
      <c r="T833" s="167">
        <f t="shared" si="147"/>
        <v>0</v>
      </c>
      <c r="U833" s="167">
        <f t="shared" si="147"/>
        <v>0</v>
      </c>
    </row>
    <row r="834" spans="3:21" hidden="1" outlineLevel="2">
      <c r="C834" s="73" t="str">
        <v>SpareOfferC22</v>
      </c>
      <c r="D834" s="97" t="s">
        <v>189</v>
      </c>
      <c r="F834" s="148">
        <f t="shared" si="143"/>
        <v>0</v>
      </c>
      <c r="G834" s="102">
        <f t="shared" si="139"/>
        <v>0</v>
      </c>
      <c r="H834" s="167">
        <f t="shared" si="146"/>
        <v>0</v>
      </c>
      <c r="I834" s="167">
        <f t="shared" si="146"/>
        <v>0</v>
      </c>
      <c r="J834" s="167">
        <f t="shared" si="146"/>
        <v>0</v>
      </c>
      <c r="K834" s="167">
        <f t="shared" si="146"/>
        <v>0</v>
      </c>
      <c r="L834" s="167">
        <f t="shared" si="146"/>
        <v>0</v>
      </c>
      <c r="M834" s="167">
        <f t="shared" si="146"/>
        <v>0</v>
      </c>
      <c r="O834" s="102">
        <f t="shared" si="141"/>
        <v>0</v>
      </c>
      <c r="P834" s="167">
        <f t="shared" si="147"/>
        <v>0</v>
      </c>
      <c r="Q834" s="167">
        <f t="shared" si="147"/>
        <v>0</v>
      </c>
      <c r="R834" s="167">
        <f t="shared" si="147"/>
        <v>0</v>
      </c>
      <c r="S834" s="167">
        <f t="shared" si="147"/>
        <v>0</v>
      </c>
      <c r="T834" s="167">
        <f t="shared" si="147"/>
        <v>0</v>
      </c>
      <c r="U834" s="167">
        <f t="shared" si="147"/>
        <v>0</v>
      </c>
    </row>
    <row r="835" spans="3:21" hidden="1" outlineLevel="2">
      <c r="C835" s="73" t="str">
        <v>SpareOfferC23</v>
      </c>
      <c r="D835" s="97" t="s">
        <v>189</v>
      </c>
      <c r="F835" s="148">
        <f t="shared" si="143"/>
        <v>0</v>
      </c>
      <c r="G835" s="102">
        <f t="shared" si="139"/>
        <v>0</v>
      </c>
      <c r="H835" s="167">
        <f t="shared" si="146"/>
        <v>0</v>
      </c>
      <c r="I835" s="167">
        <f t="shared" si="146"/>
        <v>0</v>
      </c>
      <c r="J835" s="167">
        <f t="shared" si="146"/>
        <v>0</v>
      </c>
      <c r="K835" s="167">
        <f t="shared" si="146"/>
        <v>0</v>
      </c>
      <c r="L835" s="167">
        <f t="shared" si="146"/>
        <v>0</v>
      </c>
      <c r="M835" s="167">
        <f t="shared" si="146"/>
        <v>0</v>
      </c>
      <c r="O835" s="102">
        <f t="shared" si="141"/>
        <v>0</v>
      </c>
      <c r="P835" s="167">
        <f t="shared" si="147"/>
        <v>0</v>
      </c>
      <c r="Q835" s="167">
        <f t="shared" si="147"/>
        <v>0</v>
      </c>
      <c r="R835" s="167">
        <f t="shared" si="147"/>
        <v>0</v>
      </c>
      <c r="S835" s="167">
        <f t="shared" si="147"/>
        <v>0</v>
      </c>
      <c r="T835" s="167">
        <f t="shared" si="147"/>
        <v>0</v>
      </c>
      <c r="U835" s="167">
        <f t="shared" si="147"/>
        <v>0</v>
      </c>
    </row>
    <row r="836" spans="3:21" hidden="1" outlineLevel="2">
      <c r="C836" s="73" t="str">
        <v>SpareOfferC24</v>
      </c>
      <c r="D836" s="97" t="s">
        <v>189</v>
      </c>
      <c r="F836" s="148">
        <f t="shared" si="143"/>
        <v>0</v>
      </c>
      <c r="G836" s="102">
        <f t="shared" si="139"/>
        <v>0</v>
      </c>
      <c r="H836" s="167">
        <f t="shared" si="146"/>
        <v>0</v>
      </c>
      <c r="I836" s="167">
        <f t="shared" si="146"/>
        <v>0</v>
      </c>
      <c r="J836" s="167">
        <f t="shared" si="146"/>
        <v>0</v>
      </c>
      <c r="K836" s="167">
        <f t="shared" si="146"/>
        <v>0</v>
      </c>
      <c r="L836" s="167">
        <f t="shared" si="146"/>
        <v>0</v>
      </c>
      <c r="M836" s="167">
        <f t="shared" si="146"/>
        <v>0</v>
      </c>
      <c r="O836" s="102">
        <f t="shared" si="141"/>
        <v>0</v>
      </c>
      <c r="P836" s="167">
        <f t="shared" si="147"/>
        <v>0</v>
      </c>
      <c r="Q836" s="167">
        <f t="shared" si="147"/>
        <v>0</v>
      </c>
      <c r="R836" s="167">
        <f t="shared" si="147"/>
        <v>0</v>
      </c>
      <c r="S836" s="167">
        <f t="shared" si="147"/>
        <v>0</v>
      </c>
      <c r="T836" s="167">
        <f t="shared" si="147"/>
        <v>0</v>
      </c>
      <c r="U836" s="167">
        <f t="shared" si="147"/>
        <v>0</v>
      </c>
    </row>
    <row r="837" spans="3:21" hidden="1" outlineLevel="2">
      <c r="C837" s="73" t="str">
        <v>SpareOfferC25</v>
      </c>
      <c r="D837" s="97" t="s">
        <v>189</v>
      </c>
      <c r="F837" s="148">
        <f t="shared" si="143"/>
        <v>0</v>
      </c>
      <c r="G837" s="102">
        <f t="shared" si="139"/>
        <v>0</v>
      </c>
      <c r="H837" s="167">
        <f t="shared" si="146"/>
        <v>0</v>
      </c>
      <c r="I837" s="167">
        <f t="shared" si="146"/>
        <v>0</v>
      </c>
      <c r="J837" s="167">
        <f t="shared" si="146"/>
        <v>0</v>
      </c>
      <c r="K837" s="167">
        <f t="shared" si="146"/>
        <v>0</v>
      </c>
      <c r="L837" s="167">
        <f t="shared" si="146"/>
        <v>0</v>
      </c>
      <c r="M837" s="167">
        <f t="shared" si="146"/>
        <v>0</v>
      </c>
      <c r="O837" s="102">
        <f t="shared" si="141"/>
        <v>0</v>
      </c>
      <c r="P837" s="167">
        <f t="shared" si="147"/>
        <v>0</v>
      </c>
      <c r="Q837" s="167">
        <f t="shared" si="147"/>
        <v>0</v>
      </c>
      <c r="R837" s="167">
        <f t="shared" si="147"/>
        <v>0</v>
      </c>
      <c r="S837" s="167">
        <f t="shared" si="147"/>
        <v>0</v>
      </c>
      <c r="T837" s="167">
        <f t="shared" si="147"/>
        <v>0</v>
      </c>
      <c r="U837" s="167">
        <f t="shared" si="147"/>
        <v>0</v>
      </c>
    </row>
    <row r="838" spans="3:21" hidden="1" outlineLevel="2">
      <c r="C838" s="73" t="str">
        <v>SpareOfferC26</v>
      </c>
      <c r="D838" s="97" t="s">
        <v>189</v>
      </c>
      <c r="F838" s="148">
        <f t="shared" si="143"/>
        <v>0</v>
      </c>
      <c r="G838" s="102">
        <f t="shared" si="139"/>
        <v>0</v>
      </c>
      <c r="H838" s="167">
        <f t="shared" si="146"/>
        <v>0</v>
      </c>
      <c r="I838" s="167">
        <f t="shared" si="146"/>
        <v>0</v>
      </c>
      <c r="J838" s="167">
        <f t="shared" si="146"/>
        <v>0</v>
      </c>
      <c r="K838" s="167">
        <f t="shared" si="146"/>
        <v>0</v>
      </c>
      <c r="L838" s="167">
        <f t="shared" si="146"/>
        <v>0</v>
      </c>
      <c r="M838" s="167">
        <f t="shared" si="146"/>
        <v>0</v>
      </c>
      <c r="O838" s="102">
        <f t="shared" si="141"/>
        <v>0</v>
      </c>
      <c r="P838" s="167">
        <f t="shared" si="147"/>
        <v>0</v>
      </c>
      <c r="Q838" s="167">
        <f t="shared" si="147"/>
        <v>0</v>
      </c>
      <c r="R838" s="167">
        <f t="shared" si="147"/>
        <v>0</v>
      </c>
      <c r="S838" s="167">
        <f t="shared" si="147"/>
        <v>0</v>
      </c>
      <c r="T838" s="167">
        <f t="shared" si="147"/>
        <v>0</v>
      </c>
      <c r="U838" s="167">
        <f t="shared" si="147"/>
        <v>0</v>
      </c>
    </row>
    <row r="839" spans="3:21" hidden="1" outlineLevel="2">
      <c r="C839" s="73" t="str">
        <v>SpareOfferC27</v>
      </c>
      <c r="D839" s="97" t="s">
        <v>189</v>
      </c>
      <c r="F839" s="148">
        <f t="shared" si="143"/>
        <v>0</v>
      </c>
      <c r="G839" s="102">
        <f t="shared" si="139"/>
        <v>0</v>
      </c>
      <c r="H839" s="167">
        <f t="shared" si="146"/>
        <v>0</v>
      </c>
      <c r="I839" s="167">
        <f t="shared" si="146"/>
        <v>0</v>
      </c>
      <c r="J839" s="167">
        <f t="shared" si="146"/>
        <v>0</v>
      </c>
      <c r="K839" s="167">
        <f t="shared" si="146"/>
        <v>0</v>
      </c>
      <c r="L839" s="167">
        <f t="shared" si="146"/>
        <v>0</v>
      </c>
      <c r="M839" s="167">
        <f t="shared" si="146"/>
        <v>0</v>
      </c>
      <c r="O839" s="102">
        <f t="shared" si="141"/>
        <v>0</v>
      </c>
      <c r="P839" s="167">
        <f t="shared" si="147"/>
        <v>0</v>
      </c>
      <c r="Q839" s="167">
        <f t="shared" si="147"/>
        <v>0</v>
      </c>
      <c r="R839" s="167">
        <f t="shared" si="147"/>
        <v>0</v>
      </c>
      <c r="S839" s="167">
        <f t="shared" si="147"/>
        <v>0</v>
      </c>
      <c r="T839" s="167">
        <f t="shared" si="147"/>
        <v>0</v>
      </c>
      <c r="U839" s="167">
        <f t="shared" si="147"/>
        <v>0</v>
      </c>
    </row>
    <row r="840" spans="3:21" hidden="1" outlineLevel="2">
      <c r="C840" s="73" t="str">
        <v>SpareOfferC28</v>
      </c>
      <c r="D840" s="97" t="s">
        <v>189</v>
      </c>
      <c r="F840" s="148">
        <f t="shared" si="143"/>
        <v>0</v>
      </c>
      <c r="G840" s="102">
        <f t="shared" si="139"/>
        <v>0</v>
      </c>
      <c r="H840" s="167">
        <f t="shared" si="146"/>
        <v>0</v>
      </c>
      <c r="I840" s="167">
        <f t="shared" si="146"/>
        <v>0</v>
      </c>
      <c r="J840" s="167">
        <f t="shared" si="146"/>
        <v>0</v>
      </c>
      <c r="K840" s="167">
        <f t="shared" si="146"/>
        <v>0</v>
      </c>
      <c r="L840" s="167">
        <f t="shared" si="146"/>
        <v>0</v>
      </c>
      <c r="M840" s="167">
        <f t="shared" si="146"/>
        <v>0</v>
      </c>
      <c r="O840" s="102">
        <f t="shared" si="141"/>
        <v>0</v>
      </c>
      <c r="P840" s="167">
        <f t="shared" si="147"/>
        <v>0</v>
      </c>
      <c r="Q840" s="167">
        <f t="shared" si="147"/>
        <v>0</v>
      </c>
      <c r="R840" s="167">
        <f t="shared" si="147"/>
        <v>0</v>
      </c>
      <c r="S840" s="167">
        <f t="shared" si="147"/>
        <v>0</v>
      </c>
      <c r="T840" s="167">
        <f t="shared" si="147"/>
        <v>0</v>
      </c>
      <c r="U840" s="167">
        <f t="shared" si="147"/>
        <v>0</v>
      </c>
    </row>
    <row r="841" spans="3:21" hidden="1" outlineLevel="2">
      <c r="C841" s="73" t="str">
        <v>SpareOfferC29</v>
      </c>
      <c r="D841" s="97" t="s">
        <v>189</v>
      </c>
      <c r="F841" s="148">
        <f t="shared" si="143"/>
        <v>0</v>
      </c>
      <c r="G841" s="102">
        <f t="shared" si="139"/>
        <v>0</v>
      </c>
      <c r="H841" s="167">
        <f t="shared" si="146"/>
        <v>0</v>
      </c>
      <c r="I841" s="167">
        <f t="shared" si="146"/>
        <v>0</v>
      </c>
      <c r="J841" s="167">
        <f t="shared" si="146"/>
        <v>0</v>
      </c>
      <c r="K841" s="167">
        <f t="shared" si="146"/>
        <v>0</v>
      </c>
      <c r="L841" s="167">
        <f t="shared" si="146"/>
        <v>0</v>
      </c>
      <c r="M841" s="167">
        <f t="shared" si="146"/>
        <v>0</v>
      </c>
      <c r="O841" s="102">
        <f t="shared" si="141"/>
        <v>0</v>
      </c>
      <c r="P841" s="167">
        <f t="shared" si="147"/>
        <v>0</v>
      </c>
      <c r="Q841" s="167">
        <f t="shared" si="147"/>
        <v>0</v>
      </c>
      <c r="R841" s="167">
        <f t="shared" si="147"/>
        <v>0</v>
      </c>
      <c r="S841" s="167">
        <f t="shared" si="147"/>
        <v>0</v>
      </c>
      <c r="T841" s="167">
        <f t="shared" si="147"/>
        <v>0</v>
      </c>
      <c r="U841" s="167">
        <f t="shared" si="147"/>
        <v>0</v>
      </c>
    </row>
    <row r="842" spans="3:21" hidden="1" outlineLevel="2">
      <c r="C842" s="73" t="str">
        <v>SpareOfferC30</v>
      </c>
      <c r="D842" s="97" t="s">
        <v>189</v>
      </c>
      <c r="F842" s="148">
        <f t="shared" si="143"/>
        <v>0</v>
      </c>
      <c r="G842" s="102">
        <f t="shared" si="139"/>
        <v>0</v>
      </c>
      <c r="H842" s="167">
        <f t="shared" si="146"/>
        <v>0</v>
      </c>
      <c r="I842" s="167">
        <f t="shared" si="146"/>
        <v>0</v>
      </c>
      <c r="J842" s="167">
        <f t="shared" si="146"/>
        <v>0</v>
      </c>
      <c r="K842" s="167">
        <f t="shared" si="146"/>
        <v>0</v>
      </c>
      <c r="L842" s="167">
        <f t="shared" si="146"/>
        <v>0</v>
      </c>
      <c r="M842" s="167">
        <f t="shared" si="146"/>
        <v>0</v>
      </c>
      <c r="O842" s="102">
        <f t="shared" si="141"/>
        <v>0</v>
      </c>
      <c r="P842" s="167">
        <f t="shared" si="147"/>
        <v>0</v>
      </c>
      <c r="Q842" s="167">
        <f t="shared" si="147"/>
        <v>0</v>
      </c>
      <c r="R842" s="167">
        <f t="shared" si="147"/>
        <v>0</v>
      </c>
      <c r="S842" s="167">
        <f t="shared" si="147"/>
        <v>0</v>
      </c>
      <c r="T842" s="167">
        <f t="shared" si="147"/>
        <v>0</v>
      </c>
      <c r="U842" s="167">
        <f t="shared" si="147"/>
        <v>0</v>
      </c>
    </row>
    <row r="843" spans="3:21" ht="12" hidden="1" customHeight="1" outlineLevel="2">
      <c r="C843" s="73" t="str">
        <v>SpareOfferC31</v>
      </c>
      <c r="D843" s="97" t="s">
        <v>189</v>
      </c>
      <c r="F843" s="148">
        <f t="shared" si="143"/>
        <v>0</v>
      </c>
      <c r="G843" s="102">
        <f t="shared" si="139"/>
        <v>0</v>
      </c>
      <c r="H843" s="167">
        <f t="shared" ref="H843:M847" si="148">H$26*H687</f>
        <v>0</v>
      </c>
      <c r="I843" s="167">
        <f t="shared" si="148"/>
        <v>0</v>
      </c>
      <c r="J843" s="167">
        <f t="shared" si="148"/>
        <v>0</v>
      </c>
      <c r="K843" s="167">
        <f t="shared" si="148"/>
        <v>0</v>
      </c>
      <c r="L843" s="167">
        <f t="shared" si="148"/>
        <v>0</v>
      </c>
      <c r="M843" s="167">
        <f t="shared" si="148"/>
        <v>0</v>
      </c>
      <c r="O843" s="102">
        <f t="shared" si="141"/>
        <v>0</v>
      </c>
      <c r="P843" s="167">
        <f t="shared" ref="P843:U847" si="149">P$26*P687</f>
        <v>0</v>
      </c>
      <c r="Q843" s="167">
        <f t="shared" si="149"/>
        <v>0</v>
      </c>
      <c r="R843" s="167">
        <f t="shared" si="149"/>
        <v>0</v>
      </c>
      <c r="S843" s="167">
        <f t="shared" si="149"/>
        <v>0</v>
      </c>
      <c r="T843" s="167">
        <f t="shared" si="149"/>
        <v>0</v>
      </c>
      <c r="U843" s="167">
        <f t="shared" si="149"/>
        <v>0</v>
      </c>
    </row>
    <row r="844" spans="3:21" hidden="1" outlineLevel="2">
      <c r="C844" s="73" t="str">
        <v>SpareOfferC32</v>
      </c>
      <c r="D844" s="97" t="s">
        <v>189</v>
      </c>
      <c r="F844" s="148">
        <f t="shared" si="143"/>
        <v>0</v>
      </c>
      <c r="G844" s="102">
        <f t="shared" si="139"/>
        <v>0</v>
      </c>
      <c r="H844" s="167">
        <f t="shared" si="148"/>
        <v>0</v>
      </c>
      <c r="I844" s="167">
        <f t="shared" si="148"/>
        <v>0</v>
      </c>
      <c r="J844" s="167">
        <f t="shared" si="148"/>
        <v>0</v>
      </c>
      <c r="K844" s="167">
        <f t="shared" si="148"/>
        <v>0</v>
      </c>
      <c r="L844" s="167">
        <f t="shared" si="148"/>
        <v>0</v>
      </c>
      <c r="M844" s="167">
        <f t="shared" si="148"/>
        <v>0</v>
      </c>
      <c r="O844" s="102">
        <f t="shared" si="141"/>
        <v>0</v>
      </c>
      <c r="P844" s="167">
        <f t="shared" si="149"/>
        <v>0</v>
      </c>
      <c r="Q844" s="167">
        <f t="shared" si="149"/>
        <v>0</v>
      </c>
      <c r="R844" s="167">
        <f t="shared" si="149"/>
        <v>0</v>
      </c>
      <c r="S844" s="167">
        <f t="shared" si="149"/>
        <v>0</v>
      </c>
      <c r="T844" s="167">
        <f t="shared" si="149"/>
        <v>0</v>
      </c>
      <c r="U844" s="167">
        <f t="shared" si="149"/>
        <v>0</v>
      </c>
    </row>
    <row r="845" spans="3:21" hidden="1" outlineLevel="2">
      <c r="C845" s="73" t="str">
        <v>SpareOfferC33</v>
      </c>
      <c r="D845" s="97" t="s">
        <v>189</v>
      </c>
      <c r="F845" s="148">
        <f t="shared" si="143"/>
        <v>0</v>
      </c>
      <c r="G845" s="102">
        <f t="shared" si="139"/>
        <v>0</v>
      </c>
      <c r="H845" s="167">
        <f t="shared" si="148"/>
        <v>0</v>
      </c>
      <c r="I845" s="167">
        <f t="shared" si="148"/>
        <v>0</v>
      </c>
      <c r="J845" s="167">
        <f t="shared" si="148"/>
        <v>0</v>
      </c>
      <c r="K845" s="167">
        <f t="shared" si="148"/>
        <v>0</v>
      </c>
      <c r="L845" s="167">
        <f t="shared" si="148"/>
        <v>0</v>
      </c>
      <c r="M845" s="167">
        <f t="shared" si="148"/>
        <v>0</v>
      </c>
      <c r="O845" s="102">
        <f t="shared" si="141"/>
        <v>0</v>
      </c>
      <c r="P845" s="167">
        <f t="shared" si="149"/>
        <v>0</v>
      </c>
      <c r="Q845" s="167">
        <f t="shared" si="149"/>
        <v>0</v>
      </c>
      <c r="R845" s="167">
        <f t="shared" si="149"/>
        <v>0</v>
      </c>
      <c r="S845" s="167">
        <f t="shared" si="149"/>
        <v>0</v>
      </c>
      <c r="T845" s="167">
        <f t="shared" si="149"/>
        <v>0</v>
      </c>
      <c r="U845" s="167">
        <f t="shared" si="149"/>
        <v>0</v>
      </c>
    </row>
    <row r="846" spans="3:21" hidden="1" outlineLevel="2">
      <c r="C846" s="73" t="str">
        <v>SpareOfferC34</v>
      </c>
      <c r="D846" s="97" t="s">
        <v>189</v>
      </c>
      <c r="F846" s="148">
        <f t="shared" si="143"/>
        <v>0</v>
      </c>
      <c r="G846" s="102">
        <f t="shared" si="139"/>
        <v>0</v>
      </c>
      <c r="H846" s="167">
        <f t="shared" si="148"/>
        <v>0</v>
      </c>
      <c r="I846" s="167">
        <f t="shared" si="148"/>
        <v>0</v>
      </c>
      <c r="J846" s="167">
        <f t="shared" si="148"/>
        <v>0</v>
      </c>
      <c r="K846" s="167">
        <f t="shared" si="148"/>
        <v>0</v>
      </c>
      <c r="L846" s="167">
        <f t="shared" si="148"/>
        <v>0</v>
      </c>
      <c r="M846" s="167">
        <f t="shared" si="148"/>
        <v>0</v>
      </c>
      <c r="O846" s="102">
        <f t="shared" si="141"/>
        <v>0</v>
      </c>
      <c r="P846" s="167">
        <f t="shared" si="149"/>
        <v>0</v>
      </c>
      <c r="Q846" s="167">
        <f t="shared" si="149"/>
        <v>0</v>
      </c>
      <c r="R846" s="167">
        <f t="shared" si="149"/>
        <v>0</v>
      </c>
      <c r="S846" s="167">
        <f t="shared" si="149"/>
        <v>0</v>
      </c>
      <c r="T846" s="167">
        <f t="shared" si="149"/>
        <v>0</v>
      </c>
      <c r="U846" s="167">
        <f t="shared" si="149"/>
        <v>0</v>
      </c>
    </row>
    <row r="847" spans="3:21" outlineLevel="1" collapsed="1">
      <c r="C847" s="73" t="str">
        <v>SpareOfferC35</v>
      </c>
      <c r="D847" s="97" t="s">
        <v>189</v>
      </c>
      <c r="F847" s="148">
        <f t="shared" si="143"/>
        <v>0</v>
      </c>
      <c r="G847" s="102">
        <f t="shared" si="139"/>
        <v>0</v>
      </c>
      <c r="H847" s="167">
        <f t="shared" si="148"/>
        <v>0</v>
      </c>
      <c r="I847" s="167">
        <f t="shared" si="148"/>
        <v>0</v>
      </c>
      <c r="J847" s="167">
        <f t="shared" si="148"/>
        <v>0</v>
      </c>
      <c r="K847" s="167">
        <f t="shared" si="148"/>
        <v>0</v>
      </c>
      <c r="L847" s="167">
        <f t="shared" si="148"/>
        <v>0</v>
      </c>
      <c r="M847" s="167">
        <f t="shared" si="148"/>
        <v>0</v>
      </c>
      <c r="O847" s="102">
        <f t="shared" si="141"/>
        <v>0</v>
      </c>
      <c r="P847" s="167">
        <f t="shared" si="149"/>
        <v>0</v>
      </c>
      <c r="Q847" s="167">
        <f t="shared" si="149"/>
        <v>0</v>
      </c>
      <c r="R847" s="167">
        <f t="shared" si="149"/>
        <v>0</v>
      </c>
      <c r="S847" s="167">
        <f t="shared" si="149"/>
        <v>0</v>
      </c>
      <c r="T847" s="167">
        <f t="shared" si="149"/>
        <v>0</v>
      </c>
      <c r="U847" s="167">
        <f t="shared" si="149"/>
        <v>0</v>
      </c>
    </row>
    <row r="848" spans="3:21" outlineLevel="1"/>
    <row r="849" spans="3:15" outlineLevel="1">
      <c r="C849" s="35" t="s">
        <v>316</v>
      </c>
      <c r="G849" s="165" t="s">
        <v>228</v>
      </c>
      <c r="H849" s="165"/>
      <c r="I849" s="165"/>
      <c r="J849" s="165"/>
      <c r="K849" s="165"/>
      <c r="L849" s="165"/>
      <c r="M849" s="165"/>
      <c r="N849" s="165"/>
      <c r="O849" s="165"/>
    </row>
    <row r="850" spans="3:15" ht="23" outlineLevel="1">
      <c r="F850" s="1" t="s">
        <v>317</v>
      </c>
      <c r="G850" s="95" t="str">
        <f t="array" ref="G850:O850">TRANSPOSE(wholesale.data.tiers)</f>
        <v>W/S spare tier 1</v>
      </c>
      <c r="H850" s="95" t="str">
        <v>W/S spare tier 2</v>
      </c>
      <c r="I850" s="95" t="str">
        <v>W/S spare tier 3</v>
      </c>
      <c r="J850" s="95" t="str">
        <v>W/S spare tier 4</v>
      </c>
      <c r="K850" s="95" t="str">
        <v>W/S spare tier 5</v>
      </c>
      <c r="L850" s="95" t="str">
        <v>W/S spare tier 6</v>
      </c>
      <c r="M850" s="95" t="str">
        <v>W/S spare tier 7</v>
      </c>
      <c r="N850" s="95" t="str">
        <v>W/S spare tier 8</v>
      </c>
      <c r="O850" s="95" t="str">
        <v>W/S spare tier 9</v>
      </c>
    </row>
    <row r="851" spans="3:15" outlineLevel="1">
      <c r="C851" s="91" t="s">
        <v>89</v>
      </c>
      <c r="D851" s="97" t="s">
        <v>189</v>
      </c>
      <c r="F851" s="114">
        <f>SUMPRODUCT(F852:F886,subscription.split.segment.3)</f>
        <v>0</v>
      </c>
      <c r="G851" s="114">
        <f t="shared" ref="G851" si="150">SUMPRODUCT(G852:G886,subscription.split.segment.3)</f>
        <v>0</v>
      </c>
      <c r="H851" s="114">
        <f t="shared" ref="H851:O851" si="151">SUMPRODUCT(H852:H886,subscription.split.segment.3)</f>
        <v>0</v>
      </c>
      <c r="I851" s="114">
        <f t="shared" si="151"/>
        <v>0</v>
      </c>
      <c r="J851" s="114">
        <f t="shared" si="151"/>
        <v>0</v>
      </c>
      <c r="K851" s="114">
        <f t="shared" si="151"/>
        <v>0</v>
      </c>
      <c r="L851" s="114">
        <f t="shared" si="151"/>
        <v>0</v>
      </c>
      <c r="M851" s="114">
        <f t="shared" si="151"/>
        <v>0</v>
      </c>
      <c r="N851" s="114">
        <f t="shared" si="151"/>
        <v>0</v>
      </c>
      <c r="O851" s="114">
        <f t="shared" si="151"/>
        <v>0</v>
      </c>
    </row>
    <row r="852" spans="3:15" outlineLevel="1">
      <c r="C852" s="73" t="str">
        <f t="array" ref="C852:C886">offers.segment.3</f>
        <v>SpareOfferC1</v>
      </c>
      <c r="D852" s="97" t="s">
        <v>189</v>
      </c>
      <c r="F852" s="148">
        <f>SUM(G852:K852)</f>
        <v>0</v>
      </c>
      <c r="G852" s="167">
        <f>G696*G104</f>
        <v>0</v>
      </c>
      <c r="H852" s="167">
        <f t="shared" ref="H852:O852" si="152">H696*H104</f>
        <v>0</v>
      </c>
      <c r="I852" s="167">
        <f t="shared" si="152"/>
        <v>0</v>
      </c>
      <c r="J852" s="167">
        <f t="shared" si="152"/>
        <v>0</v>
      </c>
      <c r="K852" s="167">
        <f t="shared" si="152"/>
        <v>0</v>
      </c>
      <c r="L852" s="167">
        <f t="shared" si="152"/>
        <v>0</v>
      </c>
      <c r="M852" s="167">
        <f t="shared" si="152"/>
        <v>0</v>
      </c>
      <c r="N852" s="167">
        <f t="shared" si="152"/>
        <v>0</v>
      </c>
      <c r="O852" s="167">
        <f t="shared" si="152"/>
        <v>0</v>
      </c>
    </row>
    <row r="853" spans="3:15" hidden="1" outlineLevel="2">
      <c r="C853" s="73" t="str">
        <v>SpareOfferC2</v>
      </c>
      <c r="D853" s="97" t="s">
        <v>189</v>
      </c>
      <c r="F853" s="148">
        <f t="shared" ref="F853:F886" si="153">SUM(G853:K853)</f>
        <v>0</v>
      </c>
      <c r="G853" s="167">
        <f t="shared" ref="G853:O853" si="154">G697*G105</f>
        <v>0</v>
      </c>
      <c r="H853" s="167">
        <f t="shared" si="154"/>
        <v>0</v>
      </c>
      <c r="I853" s="167">
        <f t="shared" si="154"/>
        <v>0</v>
      </c>
      <c r="J853" s="167">
        <f t="shared" si="154"/>
        <v>0</v>
      </c>
      <c r="K853" s="167">
        <f t="shared" si="154"/>
        <v>0</v>
      </c>
      <c r="L853" s="167">
        <f t="shared" si="154"/>
        <v>0</v>
      </c>
      <c r="M853" s="167">
        <f t="shared" si="154"/>
        <v>0</v>
      </c>
      <c r="N853" s="167">
        <f t="shared" si="154"/>
        <v>0</v>
      </c>
      <c r="O853" s="167">
        <f t="shared" si="154"/>
        <v>0</v>
      </c>
    </row>
    <row r="854" spans="3:15" hidden="1" outlineLevel="2">
      <c r="C854" s="73" t="str">
        <v>SpareOfferC3</v>
      </c>
      <c r="D854" s="97" t="s">
        <v>189</v>
      </c>
      <c r="F854" s="148">
        <f t="shared" si="153"/>
        <v>0</v>
      </c>
      <c r="G854" s="167">
        <f t="shared" ref="G854:O854" si="155">G698*G106</f>
        <v>0</v>
      </c>
      <c r="H854" s="167">
        <f t="shared" si="155"/>
        <v>0</v>
      </c>
      <c r="I854" s="167">
        <f t="shared" si="155"/>
        <v>0</v>
      </c>
      <c r="J854" s="167">
        <f t="shared" si="155"/>
        <v>0</v>
      </c>
      <c r="K854" s="167">
        <f t="shared" si="155"/>
        <v>0</v>
      </c>
      <c r="L854" s="167">
        <f t="shared" si="155"/>
        <v>0</v>
      </c>
      <c r="M854" s="167">
        <f t="shared" si="155"/>
        <v>0</v>
      </c>
      <c r="N854" s="167">
        <f t="shared" si="155"/>
        <v>0</v>
      </c>
      <c r="O854" s="167">
        <f t="shared" si="155"/>
        <v>0</v>
      </c>
    </row>
    <row r="855" spans="3:15" hidden="1" outlineLevel="2">
      <c r="C855" s="73" t="str">
        <v>SpareOfferC4</v>
      </c>
      <c r="D855" s="97" t="s">
        <v>189</v>
      </c>
      <c r="F855" s="148">
        <f t="shared" si="153"/>
        <v>0</v>
      </c>
      <c r="G855" s="167">
        <f t="shared" ref="G855:O855" si="156">G699*G107</f>
        <v>0</v>
      </c>
      <c r="H855" s="167">
        <f t="shared" si="156"/>
        <v>0</v>
      </c>
      <c r="I855" s="167">
        <f t="shared" si="156"/>
        <v>0</v>
      </c>
      <c r="J855" s="167">
        <f t="shared" si="156"/>
        <v>0</v>
      </c>
      <c r="K855" s="167">
        <f t="shared" si="156"/>
        <v>0</v>
      </c>
      <c r="L855" s="167">
        <f t="shared" si="156"/>
        <v>0</v>
      </c>
      <c r="M855" s="167">
        <f t="shared" si="156"/>
        <v>0</v>
      </c>
      <c r="N855" s="167">
        <f t="shared" si="156"/>
        <v>0</v>
      </c>
      <c r="O855" s="167">
        <f t="shared" si="156"/>
        <v>0</v>
      </c>
    </row>
    <row r="856" spans="3:15" hidden="1" outlineLevel="2">
      <c r="C856" s="73" t="str">
        <v>SpareOfferC5</v>
      </c>
      <c r="D856" s="97" t="s">
        <v>189</v>
      </c>
      <c r="F856" s="148">
        <f t="shared" si="153"/>
        <v>0</v>
      </c>
      <c r="G856" s="167">
        <f t="shared" ref="G856:O856" si="157">G700*G108</f>
        <v>0</v>
      </c>
      <c r="H856" s="167">
        <f t="shared" si="157"/>
        <v>0</v>
      </c>
      <c r="I856" s="167">
        <f t="shared" si="157"/>
        <v>0</v>
      </c>
      <c r="J856" s="167">
        <f t="shared" si="157"/>
        <v>0</v>
      </c>
      <c r="K856" s="167">
        <f t="shared" si="157"/>
        <v>0</v>
      </c>
      <c r="L856" s="167">
        <f t="shared" si="157"/>
        <v>0</v>
      </c>
      <c r="M856" s="167">
        <f t="shared" si="157"/>
        <v>0</v>
      </c>
      <c r="N856" s="167">
        <f t="shared" si="157"/>
        <v>0</v>
      </c>
      <c r="O856" s="167">
        <f t="shared" si="157"/>
        <v>0</v>
      </c>
    </row>
    <row r="857" spans="3:15" hidden="1" outlineLevel="2">
      <c r="C857" s="73" t="str">
        <v>SpareOfferC6</v>
      </c>
      <c r="D857" s="97" t="s">
        <v>189</v>
      </c>
      <c r="F857" s="148">
        <f t="shared" si="153"/>
        <v>0</v>
      </c>
      <c r="G857" s="167">
        <f t="shared" ref="G857:O857" si="158">G701*G109</f>
        <v>0</v>
      </c>
      <c r="H857" s="167">
        <f t="shared" si="158"/>
        <v>0</v>
      </c>
      <c r="I857" s="167">
        <f t="shared" si="158"/>
        <v>0</v>
      </c>
      <c r="J857" s="167">
        <f t="shared" si="158"/>
        <v>0</v>
      </c>
      <c r="K857" s="167">
        <f t="shared" si="158"/>
        <v>0</v>
      </c>
      <c r="L857" s="167">
        <f t="shared" si="158"/>
        <v>0</v>
      </c>
      <c r="M857" s="167">
        <f t="shared" si="158"/>
        <v>0</v>
      </c>
      <c r="N857" s="167">
        <f t="shared" si="158"/>
        <v>0</v>
      </c>
      <c r="O857" s="167">
        <f t="shared" si="158"/>
        <v>0</v>
      </c>
    </row>
    <row r="858" spans="3:15" hidden="1" outlineLevel="2">
      <c r="C858" s="73" t="str">
        <v>SpareOfferC7</v>
      </c>
      <c r="D858" s="97" t="s">
        <v>189</v>
      </c>
      <c r="F858" s="148">
        <f t="shared" si="153"/>
        <v>0</v>
      </c>
      <c r="G858" s="167">
        <f t="shared" ref="G858:O858" si="159">G702*G110</f>
        <v>0</v>
      </c>
      <c r="H858" s="167">
        <f t="shared" si="159"/>
        <v>0</v>
      </c>
      <c r="I858" s="167">
        <f t="shared" si="159"/>
        <v>0</v>
      </c>
      <c r="J858" s="167">
        <f t="shared" si="159"/>
        <v>0</v>
      </c>
      <c r="K858" s="167">
        <f t="shared" si="159"/>
        <v>0</v>
      </c>
      <c r="L858" s="167">
        <f t="shared" si="159"/>
        <v>0</v>
      </c>
      <c r="M858" s="167">
        <f t="shared" si="159"/>
        <v>0</v>
      </c>
      <c r="N858" s="167">
        <f t="shared" si="159"/>
        <v>0</v>
      </c>
      <c r="O858" s="167">
        <f t="shared" si="159"/>
        <v>0</v>
      </c>
    </row>
    <row r="859" spans="3:15" hidden="1" outlineLevel="2">
      <c r="C859" s="73" t="str">
        <v>SpareOfferC8</v>
      </c>
      <c r="D859" s="97" t="s">
        <v>189</v>
      </c>
      <c r="F859" s="148">
        <f t="shared" si="153"/>
        <v>0</v>
      </c>
      <c r="G859" s="167">
        <f t="shared" ref="G859:O859" si="160">G703*G111</f>
        <v>0</v>
      </c>
      <c r="H859" s="167">
        <f t="shared" si="160"/>
        <v>0</v>
      </c>
      <c r="I859" s="167">
        <f t="shared" si="160"/>
        <v>0</v>
      </c>
      <c r="J859" s="167">
        <f t="shared" si="160"/>
        <v>0</v>
      </c>
      <c r="K859" s="167">
        <f t="shared" si="160"/>
        <v>0</v>
      </c>
      <c r="L859" s="167">
        <f t="shared" si="160"/>
        <v>0</v>
      </c>
      <c r="M859" s="167">
        <f t="shared" si="160"/>
        <v>0</v>
      </c>
      <c r="N859" s="167">
        <f t="shared" si="160"/>
        <v>0</v>
      </c>
      <c r="O859" s="167">
        <f t="shared" si="160"/>
        <v>0</v>
      </c>
    </row>
    <row r="860" spans="3:15" hidden="1" outlineLevel="2">
      <c r="C860" s="73" t="str">
        <v>SpareOfferC9</v>
      </c>
      <c r="D860" s="97" t="s">
        <v>189</v>
      </c>
      <c r="F860" s="148">
        <f t="shared" si="153"/>
        <v>0</v>
      </c>
      <c r="G860" s="167">
        <f t="shared" ref="G860:O860" si="161">G704*G112</f>
        <v>0</v>
      </c>
      <c r="H860" s="167">
        <f t="shared" si="161"/>
        <v>0</v>
      </c>
      <c r="I860" s="167">
        <f t="shared" si="161"/>
        <v>0</v>
      </c>
      <c r="J860" s="167">
        <f t="shared" si="161"/>
        <v>0</v>
      </c>
      <c r="K860" s="167">
        <f t="shared" si="161"/>
        <v>0</v>
      </c>
      <c r="L860" s="167">
        <f t="shared" si="161"/>
        <v>0</v>
      </c>
      <c r="M860" s="167">
        <f t="shared" si="161"/>
        <v>0</v>
      </c>
      <c r="N860" s="167">
        <f t="shared" si="161"/>
        <v>0</v>
      </c>
      <c r="O860" s="167">
        <f t="shared" si="161"/>
        <v>0</v>
      </c>
    </row>
    <row r="861" spans="3:15" hidden="1" outlineLevel="2">
      <c r="C861" s="73" t="str">
        <v>SpareOfferC10</v>
      </c>
      <c r="D861" s="97" t="s">
        <v>189</v>
      </c>
      <c r="F861" s="148">
        <f t="shared" si="153"/>
        <v>0</v>
      </c>
      <c r="G861" s="167">
        <f t="shared" ref="G861:O861" si="162">G705*G113</f>
        <v>0</v>
      </c>
      <c r="H861" s="167">
        <f t="shared" si="162"/>
        <v>0</v>
      </c>
      <c r="I861" s="167">
        <f t="shared" si="162"/>
        <v>0</v>
      </c>
      <c r="J861" s="167">
        <f t="shared" si="162"/>
        <v>0</v>
      </c>
      <c r="K861" s="167">
        <f t="shared" si="162"/>
        <v>0</v>
      </c>
      <c r="L861" s="167">
        <f t="shared" si="162"/>
        <v>0</v>
      </c>
      <c r="M861" s="167">
        <f t="shared" si="162"/>
        <v>0</v>
      </c>
      <c r="N861" s="167">
        <f t="shared" si="162"/>
        <v>0</v>
      </c>
      <c r="O861" s="167">
        <f t="shared" si="162"/>
        <v>0</v>
      </c>
    </row>
    <row r="862" spans="3:15" hidden="1" outlineLevel="2">
      <c r="C862" s="73" t="str">
        <v>SpareOfferC11</v>
      </c>
      <c r="D862" s="97" t="s">
        <v>189</v>
      </c>
      <c r="F862" s="148">
        <f t="shared" si="153"/>
        <v>0</v>
      </c>
      <c r="G862" s="167">
        <f t="shared" ref="G862:O862" si="163">G706*G114</f>
        <v>0</v>
      </c>
      <c r="H862" s="167">
        <f t="shared" si="163"/>
        <v>0</v>
      </c>
      <c r="I862" s="167">
        <f t="shared" si="163"/>
        <v>0</v>
      </c>
      <c r="J862" s="167">
        <f t="shared" si="163"/>
        <v>0</v>
      </c>
      <c r="K862" s="167">
        <f t="shared" si="163"/>
        <v>0</v>
      </c>
      <c r="L862" s="167">
        <f t="shared" si="163"/>
        <v>0</v>
      </c>
      <c r="M862" s="167">
        <f t="shared" si="163"/>
        <v>0</v>
      </c>
      <c r="N862" s="167">
        <f t="shared" si="163"/>
        <v>0</v>
      </c>
      <c r="O862" s="167">
        <f t="shared" si="163"/>
        <v>0</v>
      </c>
    </row>
    <row r="863" spans="3:15" hidden="1" outlineLevel="2">
      <c r="C863" s="73" t="str">
        <v>SpareOfferC12</v>
      </c>
      <c r="D863" s="97" t="s">
        <v>189</v>
      </c>
      <c r="F863" s="148">
        <f t="shared" si="153"/>
        <v>0</v>
      </c>
      <c r="G863" s="167">
        <f t="shared" ref="G863:O863" si="164">G707*G115</f>
        <v>0</v>
      </c>
      <c r="H863" s="167">
        <f t="shared" si="164"/>
        <v>0</v>
      </c>
      <c r="I863" s="167">
        <f t="shared" si="164"/>
        <v>0</v>
      </c>
      <c r="J863" s="167">
        <f t="shared" si="164"/>
        <v>0</v>
      </c>
      <c r="K863" s="167">
        <f t="shared" si="164"/>
        <v>0</v>
      </c>
      <c r="L863" s="167">
        <f t="shared" si="164"/>
        <v>0</v>
      </c>
      <c r="M863" s="167">
        <f t="shared" si="164"/>
        <v>0</v>
      </c>
      <c r="N863" s="167">
        <f t="shared" si="164"/>
        <v>0</v>
      </c>
      <c r="O863" s="167">
        <f t="shared" si="164"/>
        <v>0</v>
      </c>
    </row>
    <row r="864" spans="3:15" hidden="1" outlineLevel="2">
      <c r="C864" s="73" t="str">
        <v>SpareOfferC13</v>
      </c>
      <c r="D864" s="97" t="s">
        <v>189</v>
      </c>
      <c r="F864" s="148">
        <f t="shared" si="153"/>
        <v>0</v>
      </c>
      <c r="G864" s="167">
        <f t="shared" ref="G864:O864" si="165">G708*G116</f>
        <v>0</v>
      </c>
      <c r="H864" s="167">
        <f t="shared" si="165"/>
        <v>0</v>
      </c>
      <c r="I864" s="167">
        <f t="shared" si="165"/>
        <v>0</v>
      </c>
      <c r="J864" s="167">
        <f t="shared" si="165"/>
        <v>0</v>
      </c>
      <c r="K864" s="167">
        <f t="shared" si="165"/>
        <v>0</v>
      </c>
      <c r="L864" s="167">
        <f t="shared" si="165"/>
        <v>0</v>
      </c>
      <c r="M864" s="167">
        <f t="shared" si="165"/>
        <v>0</v>
      </c>
      <c r="N864" s="167">
        <f t="shared" si="165"/>
        <v>0</v>
      </c>
      <c r="O864" s="167">
        <f t="shared" si="165"/>
        <v>0</v>
      </c>
    </row>
    <row r="865" spans="3:15" hidden="1" outlineLevel="2">
      <c r="C865" s="73" t="str">
        <v>SpareOfferC14</v>
      </c>
      <c r="D865" s="97" t="s">
        <v>189</v>
      </c>
      <c r="F865" s="148">
        <f t="shared" si="153"/>
        <v>0</v>
      </c>
      <c r="G865" s="167">
        <f t="shared" ref="G865:O865" si="166">G709*G117</f>
        <v>0</v>
      </c>
      <c r="H865" s="167">
        <f t="shared" si="166"/>
        <v>0</v>
      </c>
      <c r="I865" s="167">
        <f t="shared" si="166"/>
        <v>0</v>
      </c>
      <c r="J865" s="167">
        <f t="shared" si="166"/>
        <v>0</v>
      </c>
      <c r="K865" s="167">
        <f t="shared" si="166"/>
        <v>0</v>
      </c>
      <c r="L865" s="167">
        <f t="shared" si="166"/>
        <v>0</v>
      </c>
      <c r="M865" s="167">
        <f t="shared" si="166"/>
        <v>0</v>
      </c>
      <c r="N865" s="167">
        <f t="shared" si="166"/>
        <v>0</v>
      </c>
      <c r="O865" s="167">
        <f t="shared" si="166"/>
        <v>0</v>
      </c>
    </row>
    <row r="866" spans="3:15" hidden="1" outlineLevel="2">
      <c r="C866" s="73" t="str">
        <v>SpareOfferC15</v>
      </c>
      <c r="D866" s="97" t="s">
        <v>189</v>
      </c>
      <c r="F866" s="148">
        <f t="shared" si="153"/>
        <v>0</v>
      </c>
      <c r="G866" s="167">
        <f t="shared" ref="G866:O866" si="167">G710*G118</f>
        <v>0</v>
      </c>
      <c r="H866" s="167">
        <f t="shared" si="167"/>
        <v>0</v>
      </c>
      <c r="I866" s="167">
        <f t="shared" si="167"/>
        <v>0</v>
      </c>
      <c r="J866" s="167">
        <f t="shared" si="167"/>
        <v>0</v>
      </c>
      <c r="K866" s="167">
        <f t="shared" si="167"/>
        <v>0</v>
      </c>
      <c r="L866" s="167">
        <f t="shared" si="167"/>
        <v>0</v>
      </c>
      <c r="M866" s="167">
        <f t="shared" si="167"/>
        <v>0</v>
      </c>
      <c r="N866" s="167">
        <f t="shared" si="167"/>
        <v>0</v>
      </c>
      <c r="O866" s="167">
        <f t="shared" si="167"/>
        <v>0</v>
      </c>
    </row>
    <row r="867" spans="3:15" hidden="1" outlineLevel="2">
      <c r="C867" s="73" t="str">
        <v>SpareOfferC16</v>
      </c>
      <c r="D867" s="97" t="s">
        <v>189</v>
      </c>
      <c r="F867" s="148">
        <f t="shared" si="153"/>
        <v>0</v>
      </c>
      <c r="G867" s="167">
        <f t="shared" ref="G867:O867" si="168">G711*G119</f>
        <v>0</v>
      </c>
      <c r="H867" s="167">
        <f t="shared" si="168"/>
        <v>0</v>
      </c>
      <c r="I867" s="167">
        <f t="shared" si="168"/>
        <v>0</v>
      </c>
      <c r="J867" s="167">
        <f t="shared" si="168"/>
        <v>0</v>
      </c>
      <c r="K867" s="167">
        <f t="shared" si="168"/>
        <v>0</v>
      </c>
      <c r="L867" s="167">
        <f t="shared" si="168"/>
        <v>0</v>
      </c>
      <c r="M867" s="167">
        <f t="shared" si="168"/>
        <v>0</v>
      </c>
      <c r="N867" s="167">
        <f t="shared" si="168"/>
        <v>0</v>
      </c>
      <c r="O867" s="167">
        <f t="shared" si="168"/>
        <v>0</v>
      </c>
    </row>
    <row r="868" spans="3:15" hidden="1" outlineLevel="2">
      <c r="C868" s="73" t="str">
        <v>SpareOfferC17</v>
      </c>
      <c r="D868" s="97" t="s">
        <v>189</v>
      </c>
      <c r="F868" s="148">
        <f t="shared" si="153"/>
        <v>0</v>
      </c>
      <c r="G868" s="167">
        <f t="shared" ref="G868:O868" si="169">G712*G120</f>
        <v>0</v>
      </c>
      <c r="H868" s="167">
        <f t="shared" si="169"/>
        <v>0</v>
      </c>
      <c r="I868" s="167">
        <f t="shared" si="169"/>
        <v>0</v>
      </c>
      <c r="J868" s="167">
        <f t="shared" si="169"/>
        <v>0</v>
      </c>
      <c r="K868" s="167">
        <f t="shared" si="169"/>
        <v>0</v>
      </c>
      <c r="L868" s="167">
        <f t="shared" si="169"/>
        <v>0</v>
      </c>
      <c r="M868" s="167">
        <f t="shared" si="169"/>
        <v>0</v>
      </c>
      <c r="N868" s="167">
        <f t="shared" si="169"/>
        <v>0</v>
      </c>
      <c r="O868" s="167">
        <f t="shared" si="169"/>
        <v>0</v>
      </c>
    </row>
    <row r="869" spans="3:15" hidden="1" outlineLevel="2">
      <c r="C869" s="73" t="str">
        <v>SpareOfferC18</v>
      </c>
      <c r="D869" s="97" t="s">
        <v>189</v>
      </c>
      <c r="F869" s="148">
        <f t="shared" si="153"/>
        <v>0</v>
      </c>
      <c r="G869" s="167">
        <f t="shared" ref="G869:O869" si="170">G713*G121</f>
        <v>0</v>
      </c>
      <c r="H869" s="167">
        <f t="shared" si="170"/>
        <v>0</v>
      </c>
      <c r="I869" s="167">
        <f t="shared" si="170"/>
        <v>0</v>
      </c>
      <c r="J869" s="167">
        <f t="shared" si="170"/>
        <v>0</v>
      </c>
      <c r="K869" s="167">
        <f t="shared" si="170"/>
        <v>0</v>
      </c>
      <c r="L869" s="167">
        <f t="shared" si="170"/>
        <v>0</v>
      </c>
      <c r="M869" s="167">
        <f t="shared" si="170"/>
        <v>0</v>
      </c>
      <c r="N869" s="167">
        <f t="shared" si="170"/>
        <v>0</v>
      </c>
      <c r="O869" s="167">
        <f t="shared" si="170"/>
        <v>0</v>
      </c>
    </row>
    <row r="870" spans="3:15" hidden="1" outlineLevel="2">
      <c r="C870" s="73" t="str">
        <v>SpareOfferC19</v>
      </c>
      <c r="D870" s="97" t="s">
        <v>189</v>
      </c>
      <c r="F870" s="148">
        <f t="shared" si="153"/>
        <v>0</v>
      </c>
      <c r="G870" s="167">
        <f t="shared" ref="G870:O870" si="171">G714*G122</f>
        <v>0</v>
      </c>
      <c r="H870" s="167">
        <f t="shared" si="171"/>
        <v>0</v>
      </c>
      <c r="I870" s="167">
        <f t="shared" si="171"/>
        <v>0</v>
      </c>
      <c r="J870" s="167">
        <f t="shared" si="171"/>
        <v>0</v>
      </c>
      <c r="K870" s="167">
        <f t="shared" si="171"/>
        <v>0</v>
      </c>
      <c r="L870" s="167">
        <f t="shared" si="171"/>
        <v>0</v>
      </c>
      <c r="M870" s="167">
        <f t="shared" si="171"/>
        <v>0</v>
      </c>
      <c r="N870" s="167">
        <f t="shared" si="171"/>
        <v>0</v>
      </c>
      <c r="O870" s="167">
        <f t="shared" si="171"/>
        <v>0</v>
      </c>
    </row>
    <row r="871" spans="3:15" hidden="1" outlineLevel="2">
      <c r="C871" s="73" t="str">
        <v>SpareOfferC20</v>
      </c>
      <c r="D871" s="97" t="s">
        <v>189</v>
      </c>
      <c r="F871" s="148">
        <f t="shared" si="153"/>
        <v>0</v>
      </c>
      <c r="G871" s="167">
        <f t="shared" ref="G871:O871" si="172">G715*G123</f>
        <v>0</v>
      </c>
      <c r="H871" s="167">
        <f t="shared" si="172"/>
        <v>0</v>
      </c>
      <c r="I871" s="167">
        <f t="shared" si="172"/>
        <v>0</v>
      </c>
      <c r="J871" s="167">
        <f t="shared" si="172"/>
        <v>0</v>
      </c>
      <c r="K871" s="167">
        <f t="shared" si="172"/>
        <v>0</v>
      </c>
      <c r="L871" s="167">
        <f t="shared" si="172"/>
        <v>0</v>
      </c>
      <c r="M871" s="167">
        <f t="shared" si="172"/>
        <v>0</v>
      </c>
      <c r="N871" s="167">
        <f t="shared" si="172"/>
        <v>0</v>
      </c>
      <c r="O871" s="167">
        <f t="shared" si="172"/>
        <v>0</v>
      </c>
    </row>
    <row r="872" spans="3:15" hidden="1" outlineLevel="2">
      <c r="C872" s="73" t="str">
        <v>SpareOfferC21</v>
      </c>
      <c r="D872" s="97" t="s">
        <v>189</v>
      </c>
      <c r="F872" s="148">
        <f t="shared" si="153"/>
        <v>0</v>
      </c>
      <c r="G872" s="167">
        <f t="shared" ref="G872:O872" si="173">G716*G124</f>
        <v>0</v>
      </c>
      <c r="H872" s="167">
        <f t="shared" si="173"/>
        <v>0</v>
      </c>
      <c r="I872" s="167">
        <f t="shared" si="173"/>
        <v>0</v>
      </c>
      <c r="J872" s="167">
        <f t="shared" si="173"/>
        <v>0</v>
      </c>
      <c r="K872" s="167">
        <f t="shared" si="173"/>
        <v>0</v>
      </c>
      <c r="L872" s="167">
        <f t="shared" si="173"/>
        <v>0</v>
      </c>
      <c r="M872" s="167">
        <f t="shared" si="173"/>
        <v>0</v>
      </c>
      <c r="N872" s="167">
        <f t="shared" si="173"/>
        <v>0</v>
      </c>
      <c r="O872" s="167">
        <f t="shared" si="173"/>
        <v>0</v>
      </c>
    </row>
    <row r="873" spans="3:15" hidden="1" outlineLevel="2">
      <c r="C873" s="73" t="str">
        <v>SpareOfferC22</v>
      </c>
      <c r="D873" s="97" t="s">
        <v>189</v>
      </c>
      <c r="F873" s="148">
        <f t="shared" si="153"/>
        <v>0</v>
      </c>
      <c r="G873" s="167">
        <f t="shared" ref="G873:O873" si="174">G717*G125</f>
        <v>0</v>
      </c>
      <c r="H873" s="167">
        <f t="shared" si="174"/>
        <v>0</v>
      </c>
      <c r="I873" s="167">
        <f t="shared" si="174"/>
        <v>0</v>
      </c>
      <c r="J873" s="167">
        <f t="shared" si="174"/>
        <v>0</v>
      </c>
      <c r="K873" s="167">
        <f t="shared" si="174"/>
        <v>0</v>
      </c>
      <c r="L873" s="167">
        <f t="shared" si="174"/>
        <v>0</v>
      </c>
      <c r="M873" s="167">
        <f t="shared" si="174"/>
        <v>0</v>
      </c>
      <c r="N873" s="167">
        <f t="shared" si="174"/>
        <v>0</v>
      </c>
      <c r="O873" s="167">
        <f t="shared" si="174"/>
        <v>0</v>
      </c>
    </row>
    <row r="874" spans="3:15" hidden="1" outlineLevel="2">
      <c r="C874" s="73" t="str">
        <v>SpareOfferC23</v>
      </c>
      <c r="D874" s="97" t="s">
        <v>189</v>
      </c>
      <c r="F874" s="148">
        <f t="shared" si="153"/>
        <v>0</v>
      </c>
      <c r="G874" s="167">
        <f t="shared" ref="G874:O874" si="175">G718*G126</f>
        <v>0</v>
      </c>
      <c r="H874" s="167">
        <f t="shared" si="175"/>
        <v>0</v>
      </c>
      <c r="I874" s="167">
        <f t="shared" si="175"/>
        <v>0</v>
      </c>
      <c r="J874" s="167">
        <f t="shared" si="175"/>
        <v>0</v>
      </c>
      <c r="K874" s="167">
        <f t="shared" si="175"/>
        <v>0</v>
      </c>
      <c r="L874" s="167">
        <f t="shared" si="175"/>
        <v>0</v>
      </c>
      <c r="M874" s="167">
        <f t="shared" si="175"/>
        <v>0</v>
      </c>
      <c r="N874" s="167">
        <f t="shared" si="175"/>
        <v>0</v>
      </c>
      <c r="O874" s="167">
        <f t="shared" si="175"/>
        <v>0</v>
      </c>
    </row>
    <row r="875" spans="3:15" hidden="1" outlineLevel="2">
      <c r="C875" s="73" t="str">
        <v>SpareOfferC24</v>
      </c>
      <c r="D875" s="97" t="s">
        <v>189</v>
      </c>
      <c r="F875" s="148">
        <f t="shared" si="153"/>
        <v>0</v>
      </c>
      <c r="G875" s="167">
        <f t="shared" ref="G875:O875" si="176">G719*G127</f>
        <v>0</v>
      </c>
      <c r="H875" s="167">
        <f t="shared" si="176"/>
        <v>0</v>
      </c>
      <c r="I875" s="167">
        <f t="shared" si="176"/>
        <v>0</v>
      </c>
      <c r="J875" s="167">
        <f t="shared" si="176"/>
        <v>0</v>
      </c>
      <c r="K875" s="167">
        <f t="shared" si="176"/>
        <v>0</v>
      </c>
      <c r="L875" s="167">
        <f t="shared" si="176"/>
        <v>0</v>
      </c>
      <c r="M875" s="167">
        <f t="shared" si="176"/>
        <v>0</v>
      </c>
      <c r="N875" s="167">
        <f t="shared" si="176"/>
        <v>0</v>
      </c>
      <c r="O875" s="167">
        <f t="shared" si="176"/>
        <v>0</v>
      </c>
    </row>
    <row r="876" spans="3:15" hidden="1" outlineLevel="2">
      <c r="C876" s="73" t="str">
        <v>SpareOfferC25</v>
      </c>
      <c r="D876" s="97" t="s">
        <v>189</v>
      </c>
      <c r="F876" s="148">
        <f t="shared" si="153"/>
        <v>0</v>
      </c>
      <c r="G876" s="167">
        <f t="shared" ref="G876:O876" si="177">G720*G128</f>
        <v>0</v>
      </c>
      <c r="H876" s="167">
        <f t="shared" si="177"/>
        <v>0</v>
      </c>
      <c r="I876" s="167">
        <f t="shared" si="177"/>
        <v>0</v>
      </c>
      <c r="J876" s="167">
        <f t="shared" si="177"/>
        <v>0</v>
      </c>
      <c r="K876" s="167">
        <f t="shared" si="177"/>
        <v>0</v>
      </c>
      <c r="L876" s="167">
        <f t="shared" si="177"/>
        <v>0</v>
      </c>
      <c r="M876" s="167">
        <f t="shared" si="177"/>
        <v>0</v>
      </c>
      <c r="N876" s="167">
        <f t="shared" si="177"/>
        <v>0</v>
      </c>
      <c r="O876" s="167">
        <f t="shared" si="177"/>
        <v>0</v>
      </c>
    </row>
    <row r="877" spans="3:15" hidden="1" outlineLevel="2">
      <c r="C877" s="73" t="str">
        <v>SpareOfferC26</v>
      </c>
      <c r="D877" s="97" t="s">
        <v>189</v>
      </c>
      <c r="F877" s="148">
        <f t="shared" si="153"/>
        <v>0</v>
      </c>
      <c r="G877" s="167">
        <f t="shared" ref="G877:O877" si="178">G721*G129</f>
        <v>0</v>
      </c>
      <c r="H877" s="167">
        <f t="shared" si="178"/>
        <v>0</v>
      </c>
      <c r="I877" s="167">
        <f t="shared" si="178"/>
        <v>0</v>
      </c>
      <c r="J877" s="167">
        <f t="shared" si="178"/>
        <v>0</v>
      </c>
      <c r="K877" s="167">
        <f t="shared" si="178"/>
        <v>0</v>
      </c>
      <c r="L877" s="167">
        <f t="shared" si="178"/>
        <v>0</v>
      </c>
      <c r="M877" s="167">
        <f t="shared" si="178"/>
        <v>0</v>
      </c>
      <c r="N877" s="167">
        <f t="shared" si="178"/>
        <v>0</v>
      </c>
      <c r="O877" s="167">
        <f t="shared" si="178"/>
        <v>0</v>
      </c>
    </row>
    <row r="878" spans="3:15" hidden="1" outlineLevel="2">
      <c r="C878" s="73" t="str">
        <v>SpareOfferC27</v>
      </c>
      <c r="D878" s="97" t="s">
        <v>189</v>
      </c>
      <c r="F878" s="148">
        <f t="shared" si="153"/>
        <v>0</v>
      </c>
      <c r="G878" s="167">
        <f t="shared" ref="G878:O878" si="179">G722*G130</f>
        <v>0</v>
      </c>
      <c r="H878" s="167">
        <f t="shared" si="179"/>
        <v>0</v>
      </c>
      <c r="I878" s="167">
        <f t="shared" si="179"/>
        <v>0</v>
      </c>
      <c r="J878" s="167">
        <f t="shared" si="179"/>
        <v>0</v>
      </c>
      <c r="K878" s="167">
        <f t="shared" si="179"/>
        <v>0</v>
      </c>
      <c r="L878" s="167">
        <f t="shared" si="179"/>
        <v>0</v>
      </c>
      <c r="M878" s="167">
        <f t="shared" si="179"/>
        <v>0</v>
      </c>
      <c r="N878" s="167">
        <f t="shared" si="179"/>
        <v>0</v>
      </c>
      <c r="O878" s="167">
        <f t="shared" si="179"/>
        <v>0</v>
      </c>
    </row>
    <row r="879" spans="3:15" hidden="1" outlineLevel="2">
      <c r="C879" s="73" t="str">
        <v>SpareOfferC28</v>
      </c>
      <c r="D879" s="97" t="s">
        <v>189</v>
      </c>
      <c r="F879" s="148">
        <f t="shared" si="153"/>
        <v>0</v>
      </c>
      <c r="G879" s="167">
        <f t="shared" ref="G879:O879" si="180">G723*G131</f>
        <v>0</v>
      </c>
      <c r="H879" s="167">
        <f t="shared" si="180"/>
        <v>0</v>
      </c>
      <c r="I879" s="167">
        <f t="shared" si="180"/>
        <v>0</v>
      </c>
      <c r="J879" s="167">
        <f t="shared" si="180"/>
        <v>0</v>
      </c>
      <c r="K879" s="167">
        <f t="shared" si="180"/>
        <v>0</v>
      </c>
      <c r="L879" s="167">
        <f t="shared" si="180"/>
        <v>0</v>
      </c>
      <c r="M879" s="167">
        <f t="shared" si="180"/>
        <v>0</v>
      </c>
      <c r="N879" s="167">
        <f t="shared" si="180"/>
        <v>0</v>
      </c>
      <c r="O879" s="167">
        <f t="shared" si="180"/>
        <v>0</v>
      </c>
    </row>
    <row r="880" spans="3:15" hidden="1" outlineLevel="2">
      <c r="C880" s="73" t="str">
        <v>SpareOfferC29</v>
      </c>
      <c r="D880" s="97" t="s">
        <v>189</v>
      </c>
      <c r="F880" s="148">
        <f t="shared" si="153"/>
        <v>0</v>
      </c>
      <c r="G880" s="167">
        <f t="shared" ref="G880:O880" si="181">G724*G132</f>
        <v>0</v>
      </c>
      <c r="H880" s="167">
        <f t="shared" si="181"/>
        <v>0</v>
      </c>
      <c r="I880" s="167">
        <f t="shared" si="181"/>
        <v>0</v>
      </c>
      <c r="J880" s="167">
        <f t="shared" si="181"/>
        <v>0</v>
      </c>
      <c r="K880" s="167">
        <f t="shared" si="181"/>
        <v>0</v>
      </c>
      <c r="L880" s="167">
        <f t="shared" si="181"/>
        <v>0</v>
      </c>
      <c r="M880" s="167">
        <f t="shared" si="181"/>
        <v>0</v>
      </c>
      <c r="N880" s="167">
        <f t="shared" si="181"/>
        <v>0</v>
      </c>
      <c r="O880" s="167">
        <f t="shared" si="181"/>
        <v>0</v>
      </c>
    </row>
    <row r="881" spans="1:21" hidden="1" outlineLevel="2">
      <c r="C881" s="73" t="str">
        <v>SpareOfferC30</v>
      </c>
      <c r="D881" s="97" t="s">
        <v>189</v>
      </c>
      <c r="F881" s="148">
        <f t="shared" si="153"/>
        <v>0</v>
      </c>
      <c r="G881" s="167">
        <f t="shared" ref="G881:O881" si="182">G725*G133</f>
        <v>0</v>
      </c>
      <c r="H881" s="167">
        <f t="shared" si="182"/>
        <v>0</v>
      </c>
      <c r="I881" s="167">
        <f t="shared" si="182"/>
        <v>0</v>
      </c>
      <c r="J881" s="167">
        <f t="shared" si="182"/>
        <v>0</v>
      </c>
      <c r="K881" s="167">
        <f t="shared" si="182"/>
        <v>0</v>
      </c>
      <c r="L881" s="167">
        <f t="shared" si="182"/>
        <v>0</v>
      </c>
      <c r="M881" s="167">
        <f t="shared" si="182"/>
        <v>0</v>
      </c>
      <c r="N881" s="167">
        <f t="shared" si="182"/>
        <v>0</v>
      </c>
      <c r="O881" s="167">
        <f t="shared" si="182"/>
        <v>0</v>
      </c>
    </row>
    <row r="882" spans="1:21" hidden="1" outlineLevel="2">
      <c r="C882" s="73" t="str">
        <v>SpareOfferC31</v>
      </c>
      <c r="D882" s="97" t="s">
        <v>189</v>
      </c>
      <c r="F882" s="148">
        <f t="shared" si="153"/>
        <v>0</v>
      </c>
      <c r="G882" s="167">
        <f t="shared" ref="G882:O882" si="183">G726*G134</f>
        <v>0</v>
      </c>
      <c r="H882" s="167">
        <f t="shared" si="183"/>
        <v>0</v>
      </c>
      <c r="I882" s="167">
        <f t="shared" si="183"/>
        <v>0</v>
      </c>
      <c r="J882" s="167">
        <f t="shared" si="183"/>
        <v>0</v>
      </c>
      <c r="K882" s="167">
        <f t="shared" si="183"/>
        <v>0</v>
      </c>
      <c r="L882" s="167">
        <f t="shared" si="183"/>
        <v>0</v>
      </c>
      <c r="M882" s="167">
        <f t="shared" si="183"/>
        <v>0</v>
      </c>
      <c r="N882" s="167">
        <f t="shared" si="183"/>
        <v>0</v>
      </c>
      <c r="O882" s="167">
        <f t="shared" si="183"/>
        <v>0</v>
      </c>
    </row>
    <row r="883" spans="1:21" hidden="1" outlineLevel="2">
      <c r="C883" s="73" t="str">
        <v>SpareOfferC32</v>
      </c>
      <c r="D883" s="97" t="s">
        <v>189</v>
      </c>
      <c r="F883" s="148">
        <f t="shared" si="153"/>
        <v>0</v>
      </c>
      <c r="G883" s="167">
        <f t="shared" ref="G883:O883" si="184">G727*G135</f>
        <v>0</v>
      </c>
      <c r="H883" s="167">
        <f t="shared" si="184"/>
        <v>0</v>
      </c>
      <c r="I883" s="167">
        <f t="shared" si="184"/>
        <v>0</v>
      </c>
      <c r="J883" s="167">
        <f t="shared" si="184"/>
        <v>0</v>
      </c>
      <c r="K883" s="167">
        <f t="shared" si="184"/>
        <v>0</v>
      </c>
      <c r="L883" s="167">
        <f t="shared" si="184"/>
        <v>0</v>
      </c>
      <c r="M883" s="167">
        <f t="shared" si="184"/>
        <v>0</v>
      </c>
      <c r="N883" s="167">
        <f t="shared" si="184"/>
        <v>0</v>
      </c>
      <c r="O883" s="167">
        <f t="shared" si="184"/>
        <v>0</v>
      </c>
    </row>
    <row r="884" spans="1:21" hidden="1" outlineLevel="2">
      <c r="C884" s="73" t="str">
        <v>SpareOfferC33</v>
      </c>
      <c r="D884" s="97" t="s">
        <v>189</v>
      </c>
      <c r="F884" s="148">
        <f t="shared" si="153"/>
        <v>0</v>
      </c>
      <c r="G884" s="167">
        <f t="shared" ref="G884:O884" si="185">G728*G136</f>
        <v>0</v>
      </c>
      <c r="H884" s="167">
        <f t="shared" si="185"/>
        <v>0</v>
      </c>
      <c r="I884" s="167">
        <f t="shared" si="185"/>
        <v>0</v>
      </c>
      <c r="J884" s="167">
        <f t="shared" si="185"/>
        <v>0</v>
      </c>
      <c r="K884" s="167">
        <f t="shared" si="185"/>
        <v>0</v>
      </c>
      <c r="L884" s="167">
        <f t="shared" si="185"/>
        <v>0</v>
      </c>
      <c r="M884" s="167">
        <f t="shared" si="185"/>
        <v>0</v>
      </c>
      <c r="N884" s="167">
        <f t="shared" si="185"/>
        <v>0</v>
      </c>
      <c r="O884" s="167">
        <f t="shared" si="185"/>
        <v>0</v>
      </c>
    </row>
    <row r="885" spans="1:21" hidden="1" outlineLevel="2">
      <c r="C885" s="73" t="str">
        <v>SpareOfferC34</v>
      </c>
      <c r="D885" s="97" t="s">
        <v>189</v>
      </c>
      <c r="F885" s="148">
        <f t="shared" si="153"/>
        <v>0</v>
      </c>
      <c r="G885" s="167">
        <f t="shared" ref="G885:O885" si="186">G729*G137</f>
        <v>0</v>
      </c>
      <c r="H885" s="167">
        <f t="shared" si="186"/>
        <v>0</v>
      </c>
      <c r="I885" s="167">
        <f t="shared" si="186"/>
        <v>0</v>
      </c>
      <c r="J885" s="167">
        <f t="shared" si="186"/>
        <v>0</v>
      </c>
      <c r="K885" s="167">
        <f t="shared" si="186"/>
        <v>0</v>
      </c>
      <c r="L885" s="167">
        <f t="shared" si="186"/>
        <v>0</v>
      </c>
      <c r="M885" s="167">
        <f t="shared" si="186"/>
        <v>0</v>
      </c>
      <c r="N885" s="167">
        <f t="shared" si="186"/>
        <v>0</v>
      </c>
      <c r="O885" s="167">
        <f t="shared" si="186"/>
        <v>0</v>
      </c>
    </row>
    <row r="886" spans="1:21" outlineLevel="1" collapsed="1">
      <c r="C886" s="73" t="str">
        <v>SpareOfferC35</v>
      </c>
      <c r="D886" s="97" t="s">
        <v>189</v>
      </c>
      <c r="F886" s="148">
        <f t="shared" si="153"/>
        <v>0</v>
      </c>
      <c r="G886" s="167">
        <f t="shared" ref="G886:O886" si="187">G730*G138</f>
        <v>0</v>
      </c>
      <c r="H886" s="167">
        <f t="shared" si="187"/>
        <v>0</v>
      </c>
      <c r="I886" s="167">
        <f t="shared" si="187"/>
        <v>0</v>
      </c>
      <c r="J886" s="167">
        <f t="shared" si="187"/>
        <v>0</v>
      </c>
      <c r="K886" s="167">
        <f t="shared" si="187"/>
        <v>0</v>
      </c>
      <c r="L886" s="167">
        <f t="shared" si="187"/>
        <v>0</v>
      </c>
      <c r="M886" s="167">
        <f t="shared" si="187"/>
        <v>0</v>
      </c>
      <c r="N886" s="167">
        <f t="shared" si="187"/>
        <v>0</v>
      </c>
      <c r="O886" s="167">
        <f t="shared" si="187"/>
        <v>0</v>
      </c>
    </row>
    <row r="888" spans="1:21" s="220" customFormat="1">
      <c r="A888" s="220">
        <v>4</v>
      </c>
      <c r="B888" s="221" t="str">
        <f>INDEX(segments,A888)</f>
        <v>SpareSegmentD</v>
      </c>
      <c r="C888" s="207"/>
    </row>
    <row r="889" spans="1:21" outlineLevel="1"/>
    <row r="890" spans="1:21" outlineLevel="1">
      <c r="B890" s="91" t="s">
        <v>271</v>
      </c>
    </row>
    <row r="891" spans="1:21" outlineLevel="1"/>
    <row r="892" spans="1:21" outlineLevel="1">
      <c r="C892" s="35" t="s">
        <v>513</v>
      </c>
      <c r="G892" s="165" t="s">
        <v>312</v>
      </c>
      <c r="H892" s="165"/>
      <c r="I892" s="165"/>
      <c r="J892" s="165"/>
      <c r="K892" s="165"/>
      <c r="L892" s="165"/>
      <c r="M892" s="165"/>
      <c r="O892" s="165" t="s">
        <v>313</v>
      </c>
      <c r="P892" s="165"/>
      <c r="Q892" s="165"/>
      <c r="R892" s="66"/>
      <c r="S892" s="66"/>
      <c r="T892" s="66"/>
      <c r="U892" s="66"/>
    </row>
    <row r="893" spans="1:21" ht="23.25" customHeight="1" outlineLevel="1">
      <c r="G893" s="165" t="str">
        <f t="array" ref="G893:M893">TRANSPOSE(voice.destination.plus.in)</f>
        <v>On-net</v>
      </c>
      <c r="H893" s="165" t="str">
        <v>Off-net fixed</v>
      </c>
      <c r="I893" s="165" t="str">
        <v>Off-net mobile</v>
      </c>
      <c r="J893" s="66" t="str">
        <v>International</v>
      </c>
      <c r="K893" s="66" t="str">
        <v>VAS</v>
      </c>
      <c r="L893" s="66" t="str">
        <v>Not used</v>
      </c>
      <c r="M893" s="165" t="str">
        <v>Termination</v>
      </c>
      <c r="O893" s="165" t="str">
        <f t="array" ref="O893:U893">TRANSPOSE(SMS.destination.plus.in)</f>
        <v>On-net</v>
      </c>
      <c r="P893" s="165" t="str">
        <v>Off-net fixed</v>
      </c>
      <c r="Q893" s="165" t="str">
        <v>Off-net mobile</v>
      </c>
      <c r="R893" s="66" t="str">
        <v>International</v>
      </c>
      <c r="S893" s="66" t="str">
        <v>Content messages: BankID</v>
      </c>
      <c r="T893" s="66" t="str">
        <v>Content messages: other</v>
      </c>
      <c r="U893" s="165" t="str">
        <v>Termination</v>
      </c>
    </row>
    <row r="894" spans="1:21" outlineLevel="1">
      <c r="C894" s="91" t="s">
        <v>89</v>
      </c>
      <c r="D894" t="s">
        <v>302</v>
      </c>
      <c r="G894" s="114">
        <f t="shared" ref="G894:M894" si="188">SUMPRODUCT(G895:G929,subscription.split.segment.4)</f>
        <v>0</v>
      </c>
      <c r="H894" s="114">
        <f t="shared" si="188"/>
        <v>0</v>
      </c>
      <c r="I894" s="114">
        <f t="shared" si="188"/>
        <v>0</v>
      </c>
      <c r="J894" s="114">
        <f t="shared" si="188"/>
        <v>0</v>
      </c>
      <c r="K894" s="114">
        <f t="shared" si="188"/>
        <v>0</v>
      </c>
      <c r="L894" s="114">
        <f t="shared" si="188"/>
        <v>0</v>
      </c>
      <c r="M894" s="114">
        <f t="shared" si="188"/>
        <v>0</v>
      </c>
      <c r="O894" s="114">
        <f t="shared" ref="O894:U894" si="189">SUMPRODUCT(O895:O929,subscription.split.segment.4)</f>
        <v>0</v>
      </c>
      <c r="P894" s="114">
        <f t="shared" si="189"/>
        <v>0</v>
      </c>
      <c r="Q894" s="114">
        <f t="shared" si="189"/>
        <v>0</v>
      </c>
      <c r="R894" s="114">
        <f t="shared" si="189"/>
        <v>0</v>
      </c>
      <c r="S894" s="114">
        <f t="shared" si="189"/>
        <v>0</v>
      </c>
      <c r="T894" s="114">
        <f t="shared" si="189"/>
        <v>0</v>
      </c>
      <c r="U894" s="114">
        <f t="shared" si="189"/>
        <v>0</v>
      </c>
    </row>
    <row r="895" spans="1:21" outlineLevel="1">
      <c r="C895" s="73" t="str">
        <f t="array" ref="C895:C929">offers.segment.4</f>
        <v>SpareOfferD1</v>
      </c>
      <c r="D895" t="s">
        <v>302</v>
      </c>
      <c r="G895" s="89">
        <f t="array" ref="G895:L929">out.split.min.per.month.segment.4</f>
        <v>0</v>
      </c>
      <c r="H895" s="89">
        <v>0</v>
      </c>
      <c r="I895" s="89">
        <v>0</v>
      </c>
      <c r="J895" s="89">
        <v>0</v>
      </c>
      <c r="K895" s="89">
        <v>0</v>
      </c>
      <c r="L895" s="89">
        <v>0</v>
      </c>
      <c r="M895" s="227">
        <f t="array" ref="M895:M929">in.min.per.month.segment.4</f>
        <v>0</v>
      </c>
      <c r="O895" s="89">
        <f t="array" ref="O895:T929">out.split.SMS.per.month.segment.4</f>
        <v>0</v>
      </c>
      <c r="P895" s="89">
        <v>0</v>
      </c>
      <c r="Q895" s="89">
        <v>0</v>
      </c>
      <c r="R895" s="89">
        <v>0</v>
      </c>
      <c r="S895" s="89">
        <v>0</v>
      </c>
      <c r="T895" s="89">
        <v>0</v>
      </c>
      <c r="U895" s="206">
        <f t="array" ref="U895:U929">in.SMS.per.month.segment.4</f>
        <v>0</v>
      </c>
    </row>
    <row r="896" spans="1:21" hidden="1" outlineLevel="2">
      <c r="C896" s="73" t="str">
        <v>SpareOfferD2</v>
      </c>
      <c r="D896" t="s">
        <v>302</v>
      </c>
      <c r="G896" s="89">
        <v>0</v>
      </c>
      <c r="H896" s="89">
        <v>0</v>
      </c>
      <c r="I896" s="89">
        <v>0</v>
      </c>
      <c r="J896" s="89">
        <v>0</v>
      </c>
      <c r="K896" s="89">
        <v>0</v>
      </c>
      <c r="L896" s="89">
        <v>0</v>
      </c>
      <c r="M896" s="227">
        <v>0</v>
      </c>
      <c r="O896" s="89">
        <v>0</v>
      </c>
      <c r="P896" s="89">
        <v>0</v>
      </c>
      <c r="Q896" s="89">
        <v>0</v>
      </c>
      <c r="R896" s="89">
        <v>0</v>
      </c>
      <c r="S896" s="89">
        <v>0</v>
      </c>
      <c r="T896" s="89">
        <v>0</v>
      </c>
      <c r="U896" s="206">
        <v>0</v>
      </c>
    </row>
    <row r="897" spans="3:21" hidden="1" outlineLevel="2">
      <c r="C897" s="73" t="str">
        <v>SpareOfferD3</v>
      </c>
      <c r="D897" t="s">
        <v>302</v>
      </c>
      <c r="G897" s="89">
        <v>0</v>
      </c>
      <c r="H897" s="89">
        <v>0</v>
      </c>
      <c r="I897" s="89">
        <v>0</v>
      </c>
      <c r="J897" s="89">
        <v>0</v>
      </c>
      <c r="K897" s="89">
        <v>0</v>
      </c>
      <c r="L897" s="89">
        <v>0</v>
      </c>
      <c r="M897" s="227">
        <v>0</v>
      </c>
      <c r="O897" s="89">
        <v>0</v>
      </c>
      <c r="P897" s="89">
        <v>0</v>
      </c>
      <c r="Q897" s="89">
        <v>0</v>
      </c>
      <c r="R897" s="89">
        <v>0</v>
      </c>
      <c r="S897" s="89">
        <v>0</v>
      </c>
      <c r="T897" s="89">
        <v>0</v>
      </c>
      <c r="U897" s="206">
        <v>0</v>
      </c>
    </row>
    <row r="898" spans="3:21" hidden="1" outlineLevel="2">
      <c r="C898" s="73" t="str">
        <v>SpareOfferD4</v>
      </c>
      <c r="D898" t="s">
        <v>302</v>
      </c>
      <c r="G898" s="89">
        <v>0</v>
      </c>
      <c r="H898" s="89">
        <v>0</v>
      </c>
      <c r="I898" s="89">
        <v>0</v>
      </c>
      <c r="J898" s="89">
        <v>0</v>
      </c>
      <c r="K898" s="89">
        <v>0</v>
      </c>
      <c r="L898" s="89">
        <v>0</v>
      </c>
      <c r="M898" s="227">
        <v>0</v>
      </c>
      <c r="O898" s="89">
        <v>0</v>
      </c>
      <c r="P898" s="89">
        <v>0</v>
      </c>
      <c r="Q898" s="89">
        <v>0</v>
      </c>
      <c r="R898" s="89">
        <v>0</v>
      </c>
      <c r="S898" s="89">
        <v>0</v>
      </c>
      <c r="T898" s="89">
        <v>0</v>
      </c>
      <c r="U898" s="206">
        <v>0</v>
      </c>
    </row>
    <row r="899" spans="3:21" hidden="1" outlineLevel="2">
      <c r="C899" s="73" t="str">
        <v>SpareOfferD5</v>
      </c>
      <c r="D899" t="s">
        <v>302</v>
      </c>
      <c r="G899" s="89">
        <v>0</v>
      </c>
      <c r="H899" s="89">
        <v>0</v>
      </c>
      <c r="I899" s="89">
        <v>0</v>
      </c>
      <c r="J899" s="89">
        <v>0</v>
      </c>
      <c r="K899" s="89">
        <v>0</v>
      </c>
      <c r="L899" s="89">
        <v>0</v>
      </c>
      <c r="M899" s="227">
        <v>0</v>
      </c>
      <c r="O899" s="89">
        <v>0</v>
      </c>
      <c r="P899" s="89">
        <v>0</v>
      </c>
      <c r="Q899" s="89">
        <v>0</v>
      </c>
      <c r="R899" s="89">
        <v>0</v>
      </c>
      <c r="S899" s="89">
        <v>0</v>
      </c>
      <c r="T899" s="89">
        <v>0</v>
      </c>
      <c r="U899" s="206">
        <v>0</v>
      </c>
    </row>
    <row r="900" spans="3:21" hidden="1" outlineLevel="2">
      <c r="C900" s="73" t="str">
        <v>SpareOfferD6</v>
      </c>
      <c r="D900" t="s">
        <v>302</v>
      </c>
      <c r="G900" s="89">
        <v>0</v>
      </c>
      <c r="H900" s="89">
        <v>0</v>
      </c>
      <c r="I900" s="89">
        <v>0</v>
      </c>
      <c r="J900" s="89">
        <v>0</v>
      </c>
      <c r="K900" s="89">
        <v>0</v>
      </c>
      <c r="L900" s="89">
        <v>0</v>
      </c>
      <c r="M900" s="227">
        <v>0</v>
      </c>
      <c r="O900" s="89">
        <v>0</v>
      </c>
      <c r="P900" s="89">
        <v>0</v>
      </c>
      <c r="Q900" s="89">
        <v>0</v>
      </c>
      <c r="R900" s="89">
        <v>0</v>
      </c>
      <c r="S900" s="89">
        <v>0</v>
      </c>
      <c r="T900" s="89">
        <v>0</v>
      </c>
      <c r="U900" s="206">
        <v>0</v>
      </c>
    </row>
    <row r="901" spans="3:21" hidden="1" outlineLevel="2">
      <c r="C901" s="73" t="str">
        <v>SpareOfferD7</v>
      </c>
      <c r="D901" t="s">
        <v>302</v>
      </c>
      <c r="G901" s="89">
        <v>0</v>
      </c>
      <c r="H901" s="89">
        <v>0</v>
      </c>
      <c r="I901" s="89">
        <v>0</v>
      </c>
      <c r="J901" s="89">
        <v>0</v>
      </c>
      <c r="K901" s="89">
        <v>0</v>
      </c>
      <c r="L901" s="89">
        <v>0</v>
      </c>
      <c r="M901" s="227">
        <v>0</v>
      </c>
      <c r="O901" s="89">
        <v>0</v>
      </c>
      <c r="P901" s="89">
        <v>0</v>
      </c>
      <c r="Q901" s="89">
        <v>0</v>
      </c>
      <c r="R901" s="89">
        <v>0</v>
      </c>
      <c r="S901" s="89">
        <v>0</v>
      </c>
      <c r="T901" s="89">
        <v>0</v>
      </c>
      <c r="U901" s="206">
        <v>0</v>
      </c>
    </row>
    <row r="902" spans="3:21" hidden="1" outlineLevel="2">
      <c r="C902" s="73" t="str">
        <v>SpareOfferD8</v>
      </c>
      <c r="D902" t="s">
        <v>302</v>
      </c>
      <c r="G902" s="89">
        <v>0</v>
      </c>
      <c r="H902" s="89">
        <v>0</v>
      </c>
      <c r="I902" s="89">
        <v>0</v>
      </c>
      <c r="J902" s="89">
        <v>0</v>
      </c>
      <c r="K902" s="89">
        <v>0</v>
      </c>
      <c r="L902" s="89">
        <v>0</v>
      </c>
      <c r="M902" s="227">
        <v>0</v>
      </c>
      <c r="O902" s="89">
        <v>0</v>
      </c>
      <c r="P902" s="89">
        <v>0</v>
      </c>
      <c r="Q902" s="89">
        <v>0</v>
      </c>
      <c r="R902" s="89">
        <v>0</v>
      </c>
      <c r="S902" s="89">
        <v>0</v>
      </c>
      <c r="T902" s="89">
        <v>0</v>
      </c>
      <c r="U902" s="206">
        <v>0</v>
      </c>
    </row>
    <row r="903" spans="3:21" hidden="1" outlineLevel="2">
      <c r="C903" s="73" t="str">
        <v>SpareOfferD9</v>
      </c>
      <c r="D903" t="s">
        <v>302</v>
      </c>
      <c r="G903" s="89">
        <v>0</v>
      </c>
      <c r="H903" s="89">
        <v>0</v>
      </c>
      <c r="I903" s="89">
        <v>0</v>
      </c>
      <c r="J903" s="89">
        <v>0</v>
      </c>
      <c r="K903" s="89">
        <v>0</v>
      </c>
      <c r="L903" s="89">
        <v>0</v>
      </c>
      <c r="M903" s="227">
        <v>0</v>
      </c>
      <c r="O903" s="89">
        <v>0</v>
      </c>
      <c r="P903" s="89">
        <v>0</v>
      </c>
      <c r="Q903" s="89">
        <v>0</v>
      </c>
      <c r="R903" s="89">
        <v>0</v>
      </c>
      <c r="S903" s="89">
        <v>0</v>
      </c>
      <c r="T903" s="89">
        <v>0</v>
      </c>
      <c r="U903" s="206">
        <v>0</v>
      </c>
    </row>
    <row r="904" spans="3:21" hidden="1" outlineLevel="2">
      <c r="C904" s="73" t="str">
        <v>SpareOfferD10</v>
      </c>
      <c r="D904" t="s">
        <v>302</v>
      </c>
      <c r="G904" s="89">
        <v>0</v>
      </c>
      <c r="H904" s="89">
        <v>0</v>
      </c>
      <c r="I904" s="89">
        <v>0</v>
      </c>
      <c r="J904" s="89">
        <v>0</v>
      </c>
      <c r="K904" s="89">
        <v>0</v>
      </c>
      <c r="L904" s="89">
        <v>0</v>
      </c>
      <c r="M904" s="227">
        <v>0</v>
      </c>
      <c r="O904" s="89">
        <v>0</v>
      </c>
      <c r="P904" s="89">
        <v>0</v>
      </c>
      <c r="Q904" s="89">
        <v>0</v>
      </c>
      <c r="R904" s="89">
        <v>0</v>
      </c>
      <c r="S904" s="89">
        <v>0</v>
      </c>
      <c r="T904" s="89">
        <v>0</v>
      </c>
      <c r="U904" s="206">
        <v>0</v>
      </c>
    </row>
    <row r="905" spans="3:21" hidden="1" outlineLevel="2">
      <c r="C905" s="73" t="str">
        <v>SpareOfferD11</v>
      </c>
      <c r="D905" t="s">
        <v>302</v>
      </c>
      <c r="G905" s="89">
        <v>0</v>
      </c>
      <c r="H905" s="89">
        <v>0</v>
      </c>
      <c r="I905" s="89">
        <v>0</v>
      </c>
      <c r="J905" s="89">
        <v>0</v>
      </c>
      <c r="K905" s="89">
        <v>0</v>
      </c>
      <c r="L905" s="89">
        <v>0</v>
      </c>
      <c r="M905" s="227">
        <v>0</v>
      </c>
      <c r="O905" s="89">
        <v>0</v>
      </c>
      <c r="P905" s="89">
        <v>0</v>
      </c>
      <c r="Q905" s="89">
        <v>0</v>
      </c>
      <c r="R905" s="89">
        <v>0</v>
      </c>
      <c r="S905" s="89">
        <v>0</v>
      </c>
      <c r="T905" s="89">
        <v>0</v>
      </c>
      <c r="U905" s="206">
        <v>0</v>
      </c>
    </row>
    <row r="906" spans="3:21" hidden="1" outlineLevel="2">
      <c r="C906" s="73" t="str">
        <v>SpareOfferD12</v>
      </c>
      <c r="D906" t="s">
        <v>302</v>
      </c>
      <c r="G906" s="89">
        <v>0</v>
      </c>
      <c r="H906" s="89">
        <v>0</v>
      </c>
      <c r="I906" s="89">
        <v>0</v>
      </c>
      <c r="J906" s="89">
        <v>0</v>
      </c>
      <c r="K906" s="89">
        <v>0</v>
      </c>
      <c r="L906" s="89">
        <v>0</v>
      </c>
      <c r="M906" s="227">
        <v>0</v>
      </c>
      <c r="O906" s="89">
        <v>0</v>
      </c>
      <c r="P906" s="89">
        <v>0</v>
      </c>
      <c r="Q906" s="89">
        <v>0</v>
      </c>
      <c r="R906" s="89">
        <v>0</v>
      </c>
      <c r="S906" s="89">
        <v>0</v>
      </c>
      <c r="T906" s="89">
        <v>0</v>
      </c>
      <c r="U906" s="206">
        <v>0</v>
      </c>
    </row>
    <row r="907" spans="3:21" hidden="1" outlineLevel="2">
      <c r="C907" s="73" t="str">
        <v>SpareOfferD13</v>
      </c>
      <c r="D907" t="s">
        <v>302</v>
      </c>
      <c r="G907" s="89">
        <v>0</v>
      </c>
      <c r="H907" s="89">
        <v>0</v>
      </c>
      <c r="I907" s="89">
        <v>0</v>
      </c>
      <c r="J907" s="89">
        <v>0</v>
      </c>
      <c r="K907" s="89">
        <v>0</v>
      </c>
      <c r="L907" s="89">
        <v>0</v>
      </c>
      <c r="M907" s="227">
        <v>0</v>
      </c>
      <c r="O907" s="89">
        <v>0</v>
      </c>
      <c r="P907" s="89">
        <v>0</v>
      </c>
      <c r="Q907" s="89">
        <v>0</v>
      </c>
      <c r="R907" s="89">
        <v>0</v>
      </c>
      <c r="S907" s="89">
        <v>0</v>
      </c>
      <c r="T907" s="89">
        <v>0</v>
      </c>
      <c r="U907" s="206">
        <v>0</v>
      </c>
    </row>
    <row r="908" spans="3:21" hidden="1" outlineLevel="2">
      <c r="C908" s="73" t="str">
        <v>SpareOfferD14</v>
      </c>
      <c r="D908" t="s">
        <v>302</v>
      </c>
      <c r="G908" s="89">
        <v>0</v>
      </c>
      <c r="H908" s="89">
        <v>0</v>
      </c>
      <c r="I908" s="89">
        <v>0</v>
      </c>
      <c r="J908" s="89">
        <v>0</v>
      </c>
      <c r="K908" s="89">
        <v>0</v>
      </c>
      <c r="L908" s="89">
        <v>0</v>
      </c>
      <c r="M908" s="227">
        <v>0</v>
      </c>
      <c r="O908" s="89">
        <v>0</v>
      </c>
      <c r="P908" s="89">
        <v>0</v>
      </c>
      <c r="Q908" s="89">
        <v>0</v>
      </c>
      <c r="R908" s="89">
        <v>0</v>
      </c>
      <c r="S908" s="89">
        <v>0</v>
      </c>
      <c r="T908" s="89">
        <v>0</v>
      </c>
      <c r="U908" s="206">
        <v>0</v>
      </c>
    </row>
    <row r="909" spans="3:21" hidden="1" outlineLevel="2">
      <c r="C909" s="73" t="str">
        <v>SpareOfferD15</v>
      </c>
      <c r="D909" t="s">
        <v>302</v>
      </c>
      <c r="G909" s="89">
        <v>0</v>
      </c>
      <c r="H909" s="89">
        <v>0</v>
      </c>
      <c r="I909" s="89">
        <v>0</v>
      </c>
      <c r="J909" s="89">
        <v>0</v>
      </c>
      <c r="K909" s="89">
        <v>0</v>
      </c>
      <c r="L909" s="89">
        <v>0</v>
      </c>
      <c r="M909" s="227">
        <v>0</v>
      </c>
      <c r="O909" s="89">
        <v>0</v>
      </c>
      <c r="P909" s="89">
        <v>0</v>
      </c>
      <c r="Q909" s="89">
        <v>0</v>
      </c>
      <c r="R909" s="89">
        <v>0</v>
      </c>
      <c r="S909" s="89">
        <v>0</v>
      </c>
      <c r="T909" s="89">
        <v>0</v>
      </c>
      <c r="U909" s="206">
        <v>0</v>
      </c>
    </row>
    <row r="910" spans="3:21" hidden="1" outlineLevel="2">
      <c r="C910" s="73" t="str">
        <v>SpareOfferD16</v>
      </c>
      <c r="D910" t="s">
        <v>302</v>
      </c>
      <c r="G910" s="89">
        <v>0</v>
      </c>
      <c r="H910" s="89">
        <v>0</v>
      </c>
      <c r="I910" s="89">
        <v>0</v>
      </c>
      <c r="J910" s="89">
        <v>0</v>
      </c>
      <c r="K910" s="89">
        <v>0</v>
      </c>
      <c r="L910" s="89">
        <v>0</v>
      </c>
      <c r="M910" s="227">
        <v>0</v>
      </c>
      <c r="O910" s="89">
        <v>0</v>
      </c>
      <c r="P910" s="89">
        <v>0</v>
      </c>
      <c r="Q910" s="89">
        <v>0</v>
      </c>
      <c r="R910" s="89">
        <v>0</v>
      </c>
      <c r="S910" s="89">
        <v>0</v>
      </c>
      <c r="T910" s="89">
        <v>0</v>
      </c>
      <c r="U910" s="206">
        <v>0</v>
      </c>
    </row>
    <row r="911" spans="3:21" hidden="1" outlineLevel="2">
      <c r="C911" s="73" t="str">
        <v>SpareOfferD17</v>
      </c>
      <c r="D911" t="s">
        <v>302</v>
      </c>
      <c r="G911" s="89">
        <v>0</v>
      </c>
      <c r="H911" s="89">
        <v>0</v>
      </c>
      <c r="I911" s="89">
        <v>0</v>
      </c>
      <c r="J911" s="89">
        <v>0</v>
      </c>
      <c r="K911" s="89">
        <v>0</v>
      </c>
      <c r="L911" s="89">
        <v>0</v>
      </c>
      <c r="M911" s="227">
        <v>0</v>
      </c>
      <c r="O911" s="89">
        <v>0</v>
      </c>
      <c r="P911" s="89">
        <v>0</v>
      </c>
      <c r="Q911" s="89">
        <v>0</v>
      </c>
      <c r="R911" s="89">
        <v>0</v>
      </c>
      <c r="S911" s="89">
        <v>0</v>
      </c>
      <c r="T911" s="89">
        <v>0</v>
      </c>
      <c r="U911" s="206">
        <v>0</v>
      </c>
    </row>
    <row r="912" spans="3:21" hidden="1" outlineLevel="2">
      <c r="C912" s="73" t="str">
        <v>SpareOfferD18</v>
      </c>
      <c r="D912" t="s">
        <v>302</v>
      </c>
      <c r="G912" s="89">
        <v>0</v>
      </c>
      <c r="H912" s="89">
        <v>0</v>
      </c>
      <c r="I912" s="89">
        <v>0</v>
      </c>
      <c r="J912" s="89">
        <v>0</v>
      </c>
      <c r="K912" s="89">
        <v>0</v>
      </c>
      <c r="L912" s="89">
        <v>0</v>
      </c>
      <c r="M912" s="227">
        <v>0</v>
      </c>
      <c r="O912" s="89">
        <v>0</v>
      </c>
      <c r="P912" s="89">
        <v>0</v>
      </c>
      <c r="Q912" s="89">
        <v>0</v>
      </c>
      <c r="R912" s="89">
        <v>0</v>
      </c>
      <c r="S912" s="89">
        <v>0</v>
      </c>
      <c r="T912" s="89">
        <v>0</v>
      </c>
      <c r="U912" s="206">
        <v>0</v>
      </c>
    </row>
    <row r="913" spans="3:21" hidden="1" outlineLevel="2">
      <c r="C913" s="73" t="str">
        <v>SpareOfferD19</v>
      </c>
      <c r="D913" t="s">
        <v>302</v>
      </c>
      <c r="G913" s="89">
        <v>0</v>
      </c>
      <c r="H913" s="89">
        <v>0</v>
      </c>
      <c r="I913" s="89">
        <v>0</v>
      </c>
      <c r="J913" s="89">
        <v>0</v>
      </c>
      <c r="K913" s="89">
        <v>0</v>
      </c>
      <c r="L913" s="89">
        <v>0</v>
      </c>
      <c r="M913" s="227">
        <v>0</v>
      </c>
      <c r="O913" s="89">
        <v>0</v>
      </c>
      <c r="P913" s="89">
        <v>0</v>
      </c>
      <c r="Q913" s="89">
        <v>0</v>
      </c>
      <c r="R913" s="89">
        <v>0</v>
      </c>
      <c r="S913" s="89">
        <v>0</v>
      </c>
      <c r="T913" s="89">
        <v>0</v>
      </c>
      <c r="U913" s="206">
        <v>0</v>
      </c>
    </row>
    <row r="914" spans="3:21" hidden="1" outlineLevel="2">
      <c r="C914" s="73" t="str">
        <v>SpareOfferD20</v>
      </c>
      <c r="D914" t="s">
        <v>302</v>
      </c>
      <c r="G914" s="89">
        <v>0</v>
      </c>
      <c r="H914" s="89">
        <v>0</v>
      </c>
      <c r="I914" s="89">
        <v>0</v>
      </c>
      <c r="J914" s="89">
        <v>0</v>
      </c>
      <c r="K914" s="89">
        <v>0</v>
      </c>
      <c r="L914" s="89">
        <v>0</v>
      </c>
      <c r="M914" s="227">
        <v>0</v>
      </c>
      <c r="O914" s="89">
        <v>0</v>
      </c>
      <c r="P914" s="89">
        <v>0</v>
      </c>
      <c r="Q914" s="89">
        <v>0</v>
      </c>
      <c r="R914" s="89">
        <v>0</v>
      </c>
      <c r="S914" s="89">
        <v>0</v>
      </c>
      <c r="T914" s="89">
        <v>0</v>
      </c>
      <c r="U914" s="206">
        <v>0</v>
      </c>
    </row>
    <row r="915" spans="3:21" hidden="1" outlineLevel="2">
      <c r="C915" s="73" t="str">
        <v>SpareOfferD21</v>
      </c>
      <c r="D915" t="s">
        <v>302</v>
      </c>
      <c r="G915" s="89">
        <v>0</v>
      </c>
      <c r="H915" s="89">
        <v>0</v>
      </c>
      <c r="I915" s="89">
        <v>0</v>
      </c>
      <c r="J915" s="89">
        <v>0</v>
      </c>
      <c r="K915" s="89">
        <v>0</v>
      </c>
      <c r="L915" s="89">
        <v>0</v>
      </c>
      <c r="M915" s="227">
        <v>0</v>
      </c>
      <c r="O915" s="89">
        <v>0</v>
      </c>
      <c r="P915" s="89">
        <v>0</v>
      </c>
      <c r="Q915" s="89">
        <v>0</v>
      </c>
      <c r="R915" s="89">
        <v>0</v>
      </c>
      <c r="S915" s="89">
        <v>0</v>
      </c>
      <c r="T915" s="89">
        <v>0</v>
      </c>
      <c r="U915" s="206">
        <v>0</v>
      </c>
    </row>
    <row r="916" spans="3:21" hidden="1" outlineLevel="2">
      <c r="C916" s="73" t="str">
        <v>SpareOfferD22</v>
      </c>
      <c r="D916" t="s">
        <v>302</v>
      </c>
      <c r="G916" s="89">
        <v>0</v>
      </c>
      <c r="H916" s="89">
        <v>0</v>
      </c>
      <c r="I916" s="89">
        <v>0</v>
      </c>
      <c r="J916" s="89">
        <v>0</v>
      </c>
      <c r="K916" s="89">
        <v>0</v>
      </c>
      <c r="L916" s="89">
        <v>0</v>
      </c>
      <c r="M916" s="227">
        <v>0</v>
      </c>
      <c r="O916" s="89">
        <v>0</v>
      </c>
      <c r="P916" s="89">
        <v>0</v>
      </c>
      <c r="Q916" s="89">
        <v>0</v>
      </c>
      <c r="R916" s="89">
        <v>0</v>
      </c>
      <c r="S916" s="89">
        <v>0</v>
      </c>
      <c r="T916" s="89">
        <v>0</v>
      </c>
      <c r="U916" s="206">
        <v>0</v>
      </c>
    </row>
    <row r="917" spans="3:21" hidden="1" outlineLevel="2">
      <c r="C917" s="73" t="str">
        <v>SpareOfferD23</v>
      </c>
      <c r="D917" t="s">
        <v>302</v>
      </c>
      <c r="G917" s="89">
        <v>0</v>
      </c>
      <c r="H917" s="89">
        <v>0</v>
      </c>
      <c r="I917" s="89">
        <v>0</v>
      </c>
      <c r="J917" s="89">
        <v>0</v>
      </c>
      <c r="K917" s="89">
        <v>0</v>
      </c>
      <c r="L917" s="89">
        <v>0</v>
      </c>
      <c r="M917" s="227">
        <v>0</v>
      </c>
      <c r="O917" s="89">
        <v>0</v>
      </c>
      <c r="P917" s="89">
        <v>0</v>
      </c>
      <c r="Q917" s="89">
        <v>0</v>
      </c>
      <c r="R917" s="89">
        <v>0</v>
      </c>
      <c r="S917" s="89">
        <v>0</v>
      </c>
      <c r="T917" s="89">
        <v>0</v>
      </c>
      <c r="U917" s="206">
        <v>0</v>
      </c>
    </row>
    <row r="918" spans="3:21" hidden="1" outlineLevel="2">
      <c r="C918" s="73" t="str">
        <v>SpareOfferD24</v>
      </c>
      <c r="D918" t="s">
        <v>302</v>
      </c>
      <c r="G918" s="89">
        <v>0</v>
      </c>
      <c r="H918" s="89">
        <v>0</v>
      </c>
      <c r="I918" s="89">
        <v>0</v>
      </c>
      <c r="J918" s="89">
        <v>0</v>
      </c>
      <c r="K918" s="89">
        <v>0</v>
      </c>
      <c r="L918" s="89">
        <v>0</v>
      </c>
      <c r="M918" s="227">
        <v>0</v>
      </c>
      <c r="O918" s="89">
        <v>0</v>
      </c>
      <c r="P918" s="89">
        <v>0</v>
      </c>
      <c r="Q918" s="89">
        <v>0</v>
      </c>
      <c r="R918" s="89">
        <v>0</v>
      </c>
      <c r="S918" s="89">
        <v>0</v>
      </c>
      <c r="T918" s="89">
        <v>0</v>
      </c>
      <c r="U918" s="206">
        <v>0</v>
      </c>
    </row>
    <row r="919" spans="3:21" hidden="1" outlineLevel="2">
      <c r="C919" s="73" t="str">
        <v>SpareOfferD25</v>
      </c>
      <c r="D919" t="s">
        <v>302</v>
      </c>
      <c r="G919" s="89">
        <v>0</v>
      </c>
      <c r="H919" s="89">
        <v>0</v>
      </c>
      <c r="I919" s="89">
        <v>0</v>
      </c>
      <c r="J919" s="89">
        <v>0</v>
      </c>
      <c r="K919" s="89">
        <v>0</v>
      </c>
      <c r="L919" s="89">
        <v>0</v>
      </c>
      <c r="M919" s="227">
        <v>0</v>
      </c>
      <c r="O919" s="89">
        <v>0</v>
      </c>
      <c r="P919" s="89">
        <v>0</v>
      </c>
      <c r="Q919" s="89">
        <v>0</v>
      </c>
      <c r="R919" s="89">
        <v>0</v>
      </c>
      <c r="S919" s="89">
        <v>0</v>
      </c>
      <c r="T919" s="89">
        <v>0</v>
      </c>
      <c r="U919" s="206">
        <v>0</v>
      </c>
    </row>
    <row r="920" spans="3:21" hidden="1" outlineLevel="2">
      <c r="C920" s="73" t="str">
        <v>SpareOfferD26</v>
      </c>
      <c r="D920" t="s">
        <v>302</v>
      </c>
      <c r="G920" s="89">
        <v>0</v>
      </c>
      <c r="H920" s="89">
        <v>0</v>
      </c>
      <c r="I920" s="89">
        <v>0</v>
      </c>
      <c r="J920" s="89">
        <v>0</v>
      </c>
      <c r="K920" s="89">
        <v>0</v>
      </c>
      <c r="L920" s="89">
        <v>0</v>
      </c>
      <c r="M920" s="227">
        <v>0</v>
      </c>
      <c r="O920" s="89">
        <v>0</v>
      </c>
      <c r="P920" s="89">
        <v>0</v>
      </c>
      <c r="Q920" s="89">
        <v>0</v>
      </c>
      <c r="R920" s="89">
        <v>0</v>
      </c>
      <c r="S920" s="89">
        <v>0</v>
      </c>
      <c r="T920" s="89">
        <v>0</v>
      </c>
      <c r="U920" s="206">
        <v>0</v>
      </c>
    </row>
    <row r="921" spans="3:21" hidden="1" outlineLevel="2">
      <c r="C921" s="73" t="str">
        <v>SpareOfferD27</v>
      </c>
      <c r="D921" t="s">
        <v>302</v>
      </c>
      <c r="G921" s="89">
        <v>0</v>
      </c>
      <c r="H921" s="89">
        <v>0</v>
      </c>
      <c r="I921" s="89">
        <v>0</v>
      </c>
      <c r="J921" s="89">
        <v>0</v>
      </c>
      <c r="K921" s="89">
        <v>0</v>
      </c>
      <c r="L921" s="89">
        <v>0</v>
      </c>
      <c r="M921" s="227">
        <v>0</v>
      </c>
      <c r="O921" s="89">
        <v>0</v>
      </c>
      <c r="P921" s="89">
        <v>0</v>
      </c>
      <c r="Q921" s="89">
        <v>0</v>
      </c>
      <c r="R921" s="89">
        <v>0</v>
      </c>
      <c r="S921" s="89">
        <v>0</v>
      </c>
      <c r="T921" s="89">
        <v>0</v>
      </c>
      <c r="U921" s="206">
        <v>0</v>
      </c>
    </row>
    <row r="922" spans="3:21" hidden="1" outlineLevel="2">
      <c r="C922" s="73" t="str">
        <v>SpareOfferD28</v>
      </c>
      <c r="D922" t="s">
        <v>302</v>
      </c>
      <c r="G922" s="89">
        <v>0</v>
      </c>
      <c r="H922" s="89">
        <v>0</v>
      </c>
      <c r="I922" s="89">
        <v>0</v>
      </c>
      <c r="J922" s="89">
        <v>0</v>
      </c>
      <c r="K922" s="89">
        <v>0</v>
      </c>
      <c r="L922" s="89">
        <v>0</v>
      </c>
      <c r="M922" s="227">
        <v>0</v>
      </c>
      <c r="O922" s="89">
        <v>0</v>
      </c>
      <c r="P922" s="89">
        <v>0</v>
      </c>
      <c r="Q922" s="89">
        <v>0</v>
      </c>
      <c r="R922" s="89">
        <v>0</v>
      </c>
      <c r="S922" s="89">
        <v>0</v>
      </c>
      <c r="T922" s="89">
        <v>0</v>
      </c>
      <c r="U922" s="206">
        <v>0</v>
      </c>
    </row>
    <row r="923" spans="3:21" hidden="1" outlineLevel="2">
      <c r="C923" s="73" t="str">
        <v>SpareOfferD29</v>
      </c>
      <c r="D923" t="s">
        <v>302</v>
      </c>
      <c r="G923" s="89">
        <v>0</v>
      </c>
      <c r="H923" s="89">
        <v>0</v>
      </c>
      <c r="I923" s="89">
        <v>0</v>
      </c>
      <c r="J923" s="89">
        <v>0</v>
      </c>
      <c r="K923" s="89">
        <v>0</v>
      </c>
      <c r="L923" s="89">
        <v>0</v>
      </c>
      <c r="M923" s="227">
        <v>0</v>
      </c>
      <c r="O923" s="89">
        <v>0</v>
      </c>
      <c r="P923" s="89">
        <v>0</v>
      </c>
      <c r="Q923" s="89">
        <v>0</v>
      </c>
      <c r="R923" s="89">
        <v>0</v>
      </c>
      <c r="S923" s="89">
        <v>0</v>
      </c>
      <c r="T923" s="89">
        <v>0</v>
      </c>
      <c r="U923" s="206">
        <v>0</v>
      </c>
    </row>
    <row r="924" spans="3:21" hidden="1" outlineLevel="2">
      <c r="C924" s="73" t="str">
        <v>SpareOfferD30</v>
      </c>
      <c r="D924" t="s">
        <v>302</v>
      </c>
      <c r="G924" s="89">
        <v>0</v>
      </c>
      <c r="H924" s="89">
        <v>0</v>
      </c>
      <c r="I924" s="89">
        <v>0</v>
      </c>
      <c r="J924" s="89">
        <v>0</v>
      </c>
      <c r="K924" s="89">
        <v>0</v>
      </c>
      <c r="L924" s="89">
        <v>0</v>
      </c>
      <c r="M924" s="227">
        <v>0</v>
      </c>
      <c r="O924" s="89">
        <v>0</v>
      </c>
      <c r="P924" s="89">
        <v>0</v>
      </c>
      <c r="Q924" s="89">
        <v>0</v>
      </c>
      <c r="R924" s="89">
        <v>0</v>
      </c>
      <c r="S924" s="89">
        <v>0</v>
      </c>
      <c r="T924" s="89">
        <v>0</v>
      </c>
      <c r="U924" s="206">
        <v>0</v>
      </c>
    </row>
    <row r="925" spans="3:21" hidden="1" outlineLevel="2">
      <c r="C925" s="73" t="str">
        <v>SpareOfferD31</v>
      </c>
      <c r="D925" t="s">
        <v>302</v>
      </c>
      <c r="G925" s="89">
        <v>0</v>
      </c>
      <c r="H925" s="89">
        <v>0</v>
      </c>
      <c r="I925" s="89">
        <v>0</v>
      </c>
      <c r="J925" s="89">
        <v>0</v>
      </c>
      <c r="K925" s="89">
        <v>0</v>
      </c>
      <c r="L925" s="89">
        <v>0</v>
      </c>
      <c r="M925" s="227">
        <v>0</v>
      </c>
      <c r="O925" s="89">
        <v>0</v>
      </c>
      <c r="P925" s="89">
        <v>0</v>
      </c>
      <c r="Q925" s="89">
        <v>0</v>
      </c>
      <c r="R925" s="89">
        <v>0</v>
      </c>
      <c r="S925" s="89">
        <v>0</v>
      </c>
      <c r="T925" s="89">
        <v>0</v>
      </c>
      <c r="U925" s="206">
        <v>0</v>
      </c>
    </row>
    <row r="926" spans="3:21" hidden="1" outlineLevel="2">
      <c r="C926" s="73" t="str">
        <v>SpareOfferD32</v>
      </c>
      <c r="D926" t="s">
        <v>302</v>
      </c>
      <c r="G926" s="89">
        <v>0</v>
      </c>
      <c r="H926" s="89">
        <v>0</v>
      </c>
      <c r="I926" s="89">
        <v>0</v>
      </c>
      <c r="J926" s="89">
        <v>0</v>
      </c>
      <c r="K926" s="89">
        <v>0</v>
      </c>
      <c r="L926" s="89">
        <v>0</v>
      </c>
      <c r="M926" s="227">
        <v>0</v>
      </c>
      <c r="O926" s="89">
        <v>0</v>
      </c>
      <c r="P926" s="89">
        <v>0</v>
      </c>
      <c r="Q926" s="89">
        <v>0</v>
      </c>
      <c r="R926" s="89">
        <v>0</v>
      </c>
      <c r="S926" s="89">
        <v>0</v>
      </c>
      <c r="T926" s="89">
        <v>0</v>
      </c>
      <c r="U926" s="206">
        <v>0</v>
      </c>
    </row>
    <row r="927" spans="3:21" hidden="1" outlineLevel="2">
      <c r="C927" s="73" t="str">
        <v>SpareOfferD33</v>
      </c>
      <c r="D927" t="s">
        <v>302</v>
      </c>
      <c r="G927" s="89">
        <v>0</v>
      </c>
      <c r="H927" s="89">
        <v>0</v>
      </c>
      <c r="I927" s="89">
        <v>0</v>
      </c>
      <c r="J927" s="89">
        <v>0</v>
      </c>
      <c r="K927" s="89">
        <v>0</v>
      </c>
      <c r="L927" s="89">
        <v>0</v>
      </c>
      <c r="M927" s="227">
        <v>0</v>
      </c>
      <c r="O927" s="89">
        <v>0</v>
      </c>
      <c r="P927" s="89">
        <v>0</v>
      </c>
      <c r="Q927" s="89">
        <v>0</v>
      </c>
      <c r="R927" s="89">
        <v>0</v>
      </c>
      <c r="S927" s="89">
        <v>0</v>
      </c>
      <c r="T927" s="89">
        <v>0</v>
      </c>
      <c r="U927" s="206">
        <v>0</v>
      </c>
    </row>
    <row r="928" spans="3:21" hidden="1" outlineLevel="2">
      <c r="C928" s="73" t="str">
        <v>SpareOfferD34</v>
      </c>
      <c r="D928" t="s">
        <v>302</v>
      </c>
      <c r="G928" s="89">
        <v>0</v>
      </c>
      <c r="H928" s="89">
        <v>0</v>
      </c>
      <c r="I928" s="89">
        <v>0</v>
      </c>
      <c r="J928" s="89">
        <v>0</v>
      </c>
      <c r="K928" s="89">
        <v>0</v>
      </c>
      <c r="L928" s="89">
        <v>0</v>
      </c>
      <c r="M928" s="227">
        <v>0</v>
      </c>
      <c r="O928" s="89">
        <v>0</v>
      </c>
      <c r="P928" s="89">
        <v>0</v>
      </c>
      <c r="Q928" s="89">
        <v>0</v>
      </c>
      <c r="R928" s="89">
        <v>0</v>
      </c>
      <c r="S928" s="89">
        <v>0</v>
      </c>
      <c r="T928" s="89">
        <v>0</v>
      </c>
      <c r="U928" s="206">
        <v>0</v>
      </c>
    </row>
    <row r="929" spans="2:21" outlineLevel="1" collapsed="1">
      <c r="C929" s="73" t="str">
        <v>-</v>
      </c>
      <c r="D929" t="s">
        <v>302</v>
      </c>
      <c r="G929" s="89">
        <v>0</v>
      </c>
      <c r="H929" s="89">
        <v>0</v>
      </c>
      <c r="I929" s="89">
        <v>0</v>
      </c>
      <c r="J929" s="89">
        <v>0</v>
      </c>
      <c r="K929" s="89">
        <v>0</v>
      </c>
      <c r="L929" s="89">
        <v>0</v>
      </c>
      <c r="M929" s="227">
        <v>0</v>
      </c>
      <c r="O929" s="89">
        <v>0</v>
      </c>
      <c r="P929" s="89">
        <v>0</v>
      </c>
      <c r="Q929" s="89">
        <v>0</v>
      </c>
      <c r="R929" s="89">
        <v>0</v>
      </c>
      <c r="S929" s="89">
        <v>0</v>
      </c>
      <c r="T929" s="89">
        <v>0</v>
      </c>
      <c r="U929" s="206">
        <v>0</v>
      </c>
    </row>
    <row r="930" spans="2:21" outlineLevel="1"/>
    <row r="931" spans="2:21" outlineLevel="1">
      <c r="G931">
        <f t="shared" ref="G931:O931" si="190">MATCH(G932,wholesale.data.tiers,0)</f>
        <v>1</v>
      </c>
      <c r="H931">
        <f t="shared" si="190"/>
        <v>2</v>
      </c>
      <c r="I931">
        <f t="shared" si="190"/>
        <v>3</v>
      </c>
      <c r="J931">
        <f t="shared" si="190"/>
        <v>4</v>
      </c>
      <c r="K931">
        <f t="shared" si="190"/>
        <v>5</v>
      </c>
      <c r="L931">
        <f t="shared" si="190"/>
        <v>6</v>
      </c>
      <c r="M931">
        <f t="shared" si="190"/>
        <v>7</v>
      </c>
      <c r="N931">
        <f t="shared" si="190"/>
        <v>8</v>
      </c>
      <c r="O931">
        <f t="shared" si="190"/>
        <v>9</v>
      </c>
    </row>
    <row r="932" spans="2:21" ht="23" outlineLevel="1">
      <c r="C932" s="35" t="s">
        <v>303</v>
      </c>
      <c r="F932" s="112" t="s">
        <v>89</v>
      </c>
      <c r="G932" s="95" t="str">
        <f t="array" ref="G932:O932">TRANSPOSE(wholesale.data.tiers)</f>
        <v>W/S spare tier 1</v>
      </c>
      <c r="H932" s="95" t="str">
        <v>W/S spare tier 2</v>
      </c>
      <c r="I932" s="95" t="str">
        <v>W/S spare tier 3</v>
      </c>
      <c r="J932" s="95" t="str">
        <v>W/S spare tier 4</v>
      </c>
      <c r="K932" s="95" t="str">
        <v>W/S spare tier 5</v>
      </c>
      <c r="L932" s="95" t="str">
        <v>W/S spare tier 6</v>
      </c>
      <c r="M932" s="95" t="str">
        <v>W/S spare tier 7</v>
      </c>
      <c r="N932" s="95" t="str">
        <v>W/S spare tier 8</v>
      </c>
      <c r="O932" s="95" t="str">
        <v>W/S spare tier 9</v>
      </c>
    </row>
    <row r="933" spans="2:21" outlineLevel="1">
      <c r="C933" s="91" t="s">
        <v>89</v>
      </c>
      <c r="D933" t="s">
        <v>304</v>
      </c>
      <c r="F933" s="114">
        <f>SUMPRODUCT(F934:F968,subscription.split.segment.4)</f>
        <v>0</v>
      </c>
      <c r="G933" s="114">
        <f t="shared" ref="G933:O933" si="191">SUMPRODUCT(G934:G968,subscription.split.segment.4)</f>
        <v>0</v>
      </c>
      <c r="H933" s="114">
        <f t="shared" si="191"/>
        <v>0</v>
      </c>
      <c r="I933" s="114">
        <f t="shared" si="191"/>
        <v>0</v>
      </c>
      <c r="J933" s="114">
        <f t="shared" si="191"/>
        <v>0</v>
      </c>
      <c r="K933" s="114">
        <f t="shared" si="191"/>
        <v>0</v>
      </c>
      <c r="L933" s="114">
        <f t="shared" si="191"/>
        <v>0</v>
      </c>
      <c r="M933" s="114">
        <f t="shared" si="191"/>
        <v>0</v>
      </c>
      <c r="N933" s="114">
        <f t="shared" si="191"/>
        <v>0</v>
      </c>
      <c r="O933" s="114">
        <f t="shared" si="191"/>
        <v>0</v>
      </c>
    </row>
    <row r="934" spans="2:21" outlineLevel="1">
      <c r="B934">
        <f t="shared" ref="B934:B968" si="192">MATCH(C934,offers.segment.all,0)</f>
        <v>106</v>
      </c>
      <c r="C934" s="73" t="str">
        <f t="array" ref="C934:C968">offers.segment.4</f>
        <v>SpareOfferD1</v>
      </c>
      <c r="D934" t="s">
        <v>304</v>
      </c>
      <c r="F934" s="89">
        <f t="array" ref="F934:F968">data.per.month.segment.4</f>
        <v>0</v>
      </c>
      <c r="G934" s="124">
        <f t="shared" ref="G934:O943" si="193">INDEX(distribution.data.wholesale.tier,$B934,G$931)*$F934</f>
        <v>0</v>
      </c>
      <c r="H934" s="124">
        <f t="shared" si="193"/>
        <v>0</v>
      </c>
      <c r="I934" s="124">
        <f t="shared" si="193"/>
        <v>0</v>
      </c>
      <c r="J934" s="124">
        <f t="shared" si="193"/>
        <v>0</v>
      </c>
      <c r="K934" s="124">
        <f t="shared" si="193"/>
        <v>0</v>
      </c>
      <c r="L934" s="124">
        <f t="shared" si="193"/>
        <v>0</v>
      </c>
      <c r="M934" s="124">
        <f t="shared" si="193"/>
        <v>0</v>
      </c>
      <c r="N934" s="124">
        <f t="shared" si="193"/>
        <v>0</v>
      </c>
      <c r="O934" s="124">
        <f t="shared" si="193"/>
        <v>0</v>
      </c>
    </row>
    <row r="935" spans="2:21" hidden="1" outlineLevel="2">
      <c r="B935">
        <f t="shared" si="192"/>
        <v>107</v>
      </c>
      <c r="C935" s="73" t="str">
        <v>SpareOfferD2</v>
      </c>
      <c r="D935" t="s">
        <v>304</v>
      </c>
      <c r="F935" s="89">
        <v>0</v>
      </c>
      <c r="G935" s="124">
        <f t="shared" si="193"/>
        <v>0</v>
      </c>
      <c r="H935" s="124">
        <f t="shared" si="193"/>
        <v>0</v>
      </c>
      <c r="I935" s="124">
        <f t="shared" si="193"/>
        <v>0</v>
      </c>
      <c r="J935" s="124">
        <f t="shared" si="193"/>
        <v>0</v>
      </c>
      <c r="K935" s="124">
        <f t="shared" si="193"/>
        <v>0</v>
      </c>
      <c r="L935" s="124">
        <f t="shared" si="193"/>
        <v>0</v>
      </c>
      <c r="M935" s="124">
        <f t="shared" si="193"/>
        <v>0</v>
      </c>
      <c r="N935" s="124">
        <f t="shared" si="193"/>
        <v>0</v>
      </c>
      <c r="O935" s="124">
        <f t="shared" si="193"/>
        <v>0</v>
      </c>
    </row>
    <row r="936" spans="2:21" hidden="1" outlineLevel="2">
      <c r="B936">
        <f t="shared" si="192"/>
        <v>108</v>
      </c>
      <c r="C936" s="73" t="str">
        <v>SpareOfferD3</v>
      </c>
      <c r="D936" t="s">
        <v>304</v>
      </c>
      <c r="F936" s="89">
        <v>0</v>
      </c>
      <c r="G936" s="124">
        <f t="shared" si="193"/>
        <v>0</v>
      </c>
      <c r="H936" s="124">
        <f t="shared" si="193"/>
        <v>0</v>
      </c>
      <c r="I936" s="124">
        <f t="shared" si="193"/>
        <v>0</v>
      </c>
      <c r="J936" s="124">
        <f t="shared" si="193"/>
        <v>0</v>
      </c>
      <c r="K936" s="124">
        <f t="shared" si="193"/>
        <v>0</v>
      </c>
      <c r="L936" s="124">
        <f t="shared" si="193"/>
        <v>0</v>
      </c>
      <c r="M936" s="124">
        <f t="shared" si="193"/>
        <v>0</v>
      </c>
      <c r="N936" s="124">
        <f t="shared" si="193"/>
        <v>0</v>
      </c>
      <c r="O936" s="124">
        <f t="shared" si="193"/>
        <v>0</v>
      </c>
    </row>
    <row r="937" spans="2:21" hidden="1" outlineLevel="2">
      <c r="B937">
        <f t="shared" si="192"/>
        <v>109</v>
      </c>
      <c r="C937" s="73" t="str">
        <v>SpareOfferD4</v>
      </c>
      <c r="D937" t="s">
        <v>304</v>
      </c>
      <c r="F937" s="89">
        <v>0</v>
      </c>
      <c r="G937" s="124">
        <f t="shared" si="193"/>
        <v>0</v>
      </c>
      <c r="H937" s="124">
        <f t="shared" si="193"/>
        <v>0</v>
      </c>
      <c r="I937" s="124">
        <f t="shared" si="193"/>
        <v>0</v>
      </c>
      <c r="J937" s="124">
        <f t="shared" si="193"/>
        <v>0</v>
      </c>
      <c r="K937" s="124">
        <f t="shared" si="193"/>
        <v>0</v>
      </c>
      <c r="L937" s="124">
        <f t="shared" si="193"/>
        <v>0</v>
      </c>
      <c r="M937" s="124">
        <f t="shared" si="193"/>
        <v>0</v>
      </c>
      <c r="N937" s="124">
        <f t="shared" si="193"/>
        <v>0</v>
      </c>
      <c r="O937" s="124">
        <f t="shared" si="193"/>
        <v>0</v>
      </c>
    </row>
    <row r="938" spans="2:21" hidden="1" outlineLevel="2">
      <c r="B938">
        <f t="shared" si="192"/>
        <v>110</v>
      </c>
      <c r="C938" s="73" t="str">
        <v>SpareOfferD5</v>
      </c>
      <c r="D938" t="s">
        <v>304</v>
      </c>
      <c r="F938" s="89">
        <v>0</v>
      </c>
      <c r="G938" s="124">
        <f t="shared" si="193"/>
        <v>0</v>
      </c>
      <c r="H938" s="124">
        <f t="shared" si="193"/>
        <v>0</v>
      </c>
      <c r="I938" s="124">
        <f t="shared" si="193"/>
        <v>0</v>
      </c>
      <c r="J938" s="124">
        <f t="shared" si="193"/>
        <v>0</v>
      </c>
      <c r="K938" s="124">
        <f t="shared" si="193"/>
        <v>0</v>
      </c>
      <c r="L938" s="124">
        <f t="shared" si="193"/>
        <v>0</v>
      </c>
      <c r="M938" s="124">
        <f t="shared" si="193"/>
        <v>0</v>
      </c>
      <c r="N938" s="124">
        <f t="shared" si="193"/>
        <v>0</v>
      </c>
      <c r="O938" s="124">
        <f t="shared" si="193"/>
        <v>0</v>
      </c>
    </row>
    <row r="939" spans="2:21" hidden="1" outlineLevel="2">
      <c r="B939">
        <f t="shared" si="192"/>
        <v>111</v>
      </c>
      <c r="C939" s="73" t="str">
        <v>SpareOfferD6</v>
      </c>
      <c r="D939" t="s">
        <v>304</v>
      </c>
      <c r="F939" s="89">
        <v>0</v>
      </c>
      <c r="G939" s="124">
        <f t="shared" si="193"/>
        <v>0</v>
      </c>
      <c r="H939" s="124">
        <f t="shared" si="193"/>
        <v>0</v>
      </c>
      <c r="I939" s="124">
        <f t="shared" si="193"/>
        <v>0</v>
      </c>
      <c r="J939" s="124">
        <f t="shared" si="193"/>
        <v>0</v>
      </c>
      <c r="K939" s="124">
        <f t="shared" si="193"/>
        <v>0</v>
      </c>
      <c r="L939" s="124">
        <f t="shared" si="193"/>
        <v>0</v>
      </c>
      <c r="M939" s="124">
        <f t="shared" si="193"/>
        <v>0</v>
      </c>
      <c r="N939" s="124">
        <f t="shared" si="193"/>
        <v>0</v>
      </c>
      <c r="O939" s="124">
        <f t="shared" si="193"/>
        <v>0</v>
      </c>
    </row>
    <row r="940" spans="2:21" hidden="1" outlineLevel="2">
      <c r="B940">
        <f t="shared" si="192"/>
        <v>112</v>
      </c>
      <c r="C940" s="73" t="str">
        <v>SpareOfferD7</v>
      </c>
      <c r="D940" t="s">
        <v>304</v>
      </c>
      <c r="F940" s="89">
        <v>0</v>
      </c>
      <c r="G940" s="124">
        <f t="shared" si="193"/>
        <v>0</v>
      </c>
      <c r="H940" s="124">
        <f t="shared" si="193"/>
        <v>0</v>
      </c>
      <c r="I940" s="124">
        <f t="shared" si="193"/>
        <v>0</v>
      </c>
      <c r="J940" s="124">
        <f t="shared" si="193"/>
        <v>0</v>
      </c>
      <c r="K940" s="124">
        <f t="shared" si="193"/>
        <v>0</v>
      </c>
      <c r="L940" s="124">
        <f t="shared" si="193"/>
        <v>0</v>
      </c>
      <c r="M940" s="124">
        <f t="shared" si="193"/>
        <v>0</v>
      </c>
      <c r="N940" s="124">
        <f t="shared" si="193"/>
        <v>0</v>
      </c>
      <c r="O940" s="124">
        <f t="shared" si="193"/>
        <v>0</v>
      </c>
    </row>
    <row r="941" spans="2:21" hidden="1" outlineLevel="2">
      <c r="B941">
        <f t="shared" si="192"/>
        <v>113</v>
      </c>
      <c r="C941" s="73" t="str">
        <v>SpareOfferD8</v>
      </c>
      <c r="D941" t="s">
        <v>304</v>
      </c>
      <c r="F941" s="89">
        <v>0</v>
      </c>
      <c r="G941" s="124">
        <f t="shared" si="193"/>
        <v>0</v>
      </c>
      <c r="H941" s="124">
        <f t="shared" si="193"/>
        <v>0</v>
      </c>
      <c r="I941" s="124">
        <f t="shared" si="193"/>
        <v>0</v>
      </c>
      <c r="J941" s="124">
        <f t="shared" si="193"/>
        <v>0</v>
      </c>
      <c r="K941" s="124">
        <f t="shared" si="193"/>
        <v>0</v>
      </c>
      <c r="L941" s="124">
        <f t="shared" si="193"/>
        <v>0</v>
      </c>
      <c r="M941" s="124">
        <f t="shared" si="193"/>
        <v>0</v>
      </c>
      <c r="N941" s="124">
        <f t="shared" si="193"/>
        <v>0</v>
      </c>
      <c r="O941" s="124">
        <f t="shared" si="193"/>
        <v>0</v>
      </c>
    </row>
    <row r="942" spans="2:21" hidden="1" outlineLevel="2">
      <c r="B942">
        <f t="shared" si="192"/>
        <v>114</v>
      </c>
      <c r="C942" s="73" t="str">
        <v>SpareOfferD9</v>
      </c>
      <c r="D942" t="s">
        <v>304</v>
      </c>
      <c r="F942" s="89">
        <v>0</v>
      </c>
      <c r="G942" s="124">
        <f t="shared" si="193"/>
        <v>0</v>
      </c>
      <c r="H942" s="124">
        <f t="shared" si="193"/>
        <v>0</v>
      </c>
      <c r="I942" s="124">
        <f t="shared" si="193"/>
        <v>0</v>
      </c>
      <c r="J942" s="124">
        <f t="shared" si="193"/>
        <v>0</v>
      </c>
      <c r="K942" s="124">
        <f t="shared" si="193"/>
        <v>0</v>
      </c>
      <c r="L942" s="124">
        <f t="shared" si="193"/>
        <v>0</v>
      </c>
      <c r="M942" s="124">
        <f t="shared" si="193"/>
        <v>0</v>
      </c>
      <c r="N942" s="124">
        <f t="shared" si="193"/>
        <v>0</v>
      </c>
      <c r="O942" s="124">
        <f t="shared" si="193"/>
        <v>0</v>
      </c>
    </row>
    <row r="943" spans="2:21" hidden="1" outlineLevel="2">
      <c r="B943">
        <f t="shared" si="192"/>
        <v>115</v>
      </c>
      <c r="C943" s="73" t="str">
        <v>SpareOfferD10</v>
      </c>
      <c r="D943" t="s">
        <v>304</v>
      </c>
      <c r="F943" s="89">
        <v>0</v>
      </c>
      <c r="G943" s="124">
        <f t="shared" si="193"/>
        <v>0</v>
      </c>
      <c r="H943" s="124">
        <f t="shared" si="193"/>
        <v>0</v>
      </c>
      <c r="I943" s="124">
        <f t="shared" si="193"/>
        <v>0</v>
      </c>
      <c r="J943" s="124">
        <f t="shared" si="193"/>
        <v>0</v>
      </c>
      <c r="K943" s="124">
        <f t="shared" si="193"/>
        <v>0</v>
      </c>
      <c r="L943" s="124">
        <f t="shared" si="193"/>
        <v>0</v>
      </c>
      <c r="M943" s="124">
        <f t="shared" si="193"/>
        <v>0</v>
      </c>
      <c r="N943" s="124">
        <f t="shared" si="193"/>
        <v>0</v>
      </c>
      <c r="O943" s="124">
        <f t="shared" si="193"/>
        <v>0</v>
      </c>
    </row>
    <row r="944" spans="2:21" hidden="1" outlineLevel="2">
      <c r="B944">
        <f t="shared" si="192"/>
        <v>116</v>
      </c>
      <c r="C944" s="73" t="str">
        <v>SpareOfferD11</v>
      </c>
      <c r="D944" t="s">
        <v>304</v>
      </c>
      <c r="F944" s="89">
        <v>0</v>
      </c>
      <c r="G944" s="124">
        <f t="shared" ref="G944:O953" si="194">INDEX(distribution.data.wholesale.tier,$B944,G$931)*$F944</f>
        <v>0</v>
      </c>
      <c r="H944" s="124">
        <f t="shared" si="194"/>
        <v>0</v>
      </c>
      <c r="I944" s="124">
        <f t="shared" si="194"/>
        <v>0</v>
      </c>
      <c r="J944" s="124">
        <f t="shared" si="194"/>
        <v>0</v>
      </c>
      <c r="K944" s="124">
        <f t="shared" si="194"/>
        <v>0</v>
      </c>
      <c r="L944" s="124">
        <f t="shared" si="194"/>
        <v>0</v>
      </c>
      <c r="M944" s="124">
        <f t="shared" si="194"/>
        <v>0</v>
      </c>
      <c r="N944" s="124">
        <f t="shared" si="194"/>
        <v>0</v>
      </c>
      <c r="O944" s="124">
        <f t="shared" si="194"/>
        <v>0</v>
      </c>
    </row>
    <row r="945" spans="2:15" hidden="1" outlineLevel="2">
      <c r="B945">
        <f t="shared" si="192"/>
        <v>117</v>
      </c>
      <c r="C945" s="73" t="str">
        <v>SpareOfferD12</v>
      </c>
      <c r="D945" t="s">
        <v>304</v>
      </c>
      <c r="F945" s="89">
        <v>0</v>
      </c>
      <c r="G945" s="124">
        <f t="shared" si="194"/>
        <v>0</v>
      </c>
      <c r="H945" s="124">
        <f t="shared" si="194"/>
        <v>0</v>
      </c>
      <c r="I945" s="124">
        <f t="shared" si="194"/>
        <v>0</v>
      </c>
      <c r="J945" s="124">
        <f t="shared" si="194"/>
        <v>0</v>
      </c>
      <c r="K945" s="124">
        <f t="shared" si="194"/>
        <v>0</v>
      </c>
      <c r="L945" s="124">
        <f t="shared" si="194"/>
        <v>0</v>
      </c>
      <c r="M945" s="124">
        <f t="shared" si="194"/>
        <v>0</v>
      </c>
      <c r="N945" s="124">
        <f t="shared" si="194"/>
        <v>0</v>
      </c>
      <c r="O945" s="124">
        <f t="shared" si="194"/>
        <v>0</v>
      </c>
    </row>
    <row r="946" spans="2:15" hidden="1" outlineLevel="2">
      <c r="B946">
        <f t="shared" si="192"/>
        <v>118</v>
      </c>
      <c r="C946" s="73" t="str">
        <v>SpareOfferD13</v>
      </c>
      <c r="D946" t="s">
        <v>304</v>
      </c>
      <c r="F946" s="89">
        <v>0</v>
      </c>
      <c r="G946" s="124">
        <f t="shared" si="194"/>
        <v>0</v>
      </c>
      <c r="H946" s="124">
        <f t="shared" si="194"/>
        <v>0</v>
      </c>
      <c r="I946" s="124">
        <f t="shared" si="194"/>
        <v>0</v>
      </c>
      <c r="J946" s="124">
        <f t="shared" si="194"/>
        <v>0</v>
      </c>
      <c r="K946" s="124">
        <f t="shared" si="194"/>
        <v>0</v>
      </c>
      <c r="L946" s="124">
        <f t="shared" si="194"/>
        <v>0</v>
      </c>
      <c r="M946" s="124">
        <f t="shared" si="194"/>
        <v>0</v>
      </c>
      <c r="N946" s="124">
        <f t="shared" si="194"/>
        <v>0</v>
      </c>
      <c r="O946" s="124">
        <f t="shared" si="194"/>
        <v>0</v>
      </c>
    </row>
    <row r="947" spans="2:15" hidden="1" outlineLevel="2">
      <c r="B947">
        <f t="shared" si="192"/>
        <v>119</v>
      </c>
      <c r="C947" s="73" t="str">
        <v>SpareOfferD14</v>
      </c>
      <c r="D947" t="s">
        <v>304</v>
      </c>
      <c r="F947" s="89">
        <v>0</v>
      </c>
      <c r="G947" s="124">
        <f t="shared" si="194"/>
        <v>0</v>
      </c>
      <c r="H947" s="124">
        <f t="shared" si="194"/>
        <v>0</v>
      </c>
      <c r="I947" s="124">
        <f t="shared" si="194"/>
        <v>0</v>
      </c>
      <c r="J947" s="124">
        <f t="shared" si="194"/>
        <v>0</v>
      </c>
      <c r="K947" s="124">
        <f t="shared" si="194"/>
        <v>0</v>
      </c>
      <c r="L947" s="124">
        <f t="shared" si="194"/>
        <v>0</v>
      </c>
      <c r="M947" s="124">
        <f t="shared" si="194"/>
        <v>0</v>
      </c>
      <c r="N947" s="124">
        <f t="shared" si="194"/>
        <v>0</v>
      </c>
      <c r="O947" s="124">
        <f t="shared" si="194"/>
        <v>0</v>
      </c>
    </row>
    <row r="948" spans="2:15" hidden="1" outlineLevel="2">
      <c r="B948">
        <f t="shared" si="192"/>
        <v>120</v>
      </c>
      <c r="C948" s="73" t="str">
        <v>SpareOfferD15</v>
      </c>
      <c r="D948" t="s">
        <v>304</v>
      </c>
      <c r="F948" s="89">
        <v>0</v>
      </c>
      <c r="G948" s="124">
        <f t="shared" si="194"/>
        <v>0</v>
      </c>
      <c r="H948" s="124">
        <f t="shared" si="194"/>
        <v>0</v>
      </c>
      <c r="I948" s="124">
        <f t="shared" si="194"/>
        <v>0</v>
      </c>
      <c r="J948" s="124">
        <f t="shared" si="194"/>
        <v>0</v>
      </c>
      <c r="K948" s="124">
        <f t="shared" si="194"/>
        <v>0</v>
      </c>
      <c r="L948" s="124">
        <f t="shared" si="194"/>
        <v>0</v>
      </c>
      <c r="M948" s="124">
        <f t="shared" si="194"/>
        <v>0</v>
      </c>
      <c r="N948" s="124">
        <f t="shared" si="194"/>
        <v>0</v>
      </c>
      <c r="O948" s="124">
        <f t="shared" si="194"/>
        <v>0</v>
      </c>
    </row>
    <row r="949" spans="2:15" hidden="1" outlineLevel="2">
      <c r="B949">
        <f t="shared" si="192"/>
        <v>121</v>
      </c>
      <c r="C949" s="73" t="str">
        <v>SpareOfferD16</v>
      </c>
      <c r="D949" t="s">
        <v>304</v>
      </c>
      <c r="F949" s="89">
        <v>0</v>
      </c>
      <c r="G949" s="124">
        <f t="shared" si="194"/>
        <v>0</v>
      </c>
      <c r="H949" s="124">
        <f t="shared" si="194"/>
        <v>0</v>
      </c>
      <c r="I949" s="124">
        <f t="shared" si="194"/>
        <v>0</v>
      </c>
      <c r="J949" s="124">
        <f t="shared" si="194"/>
        <v>0</v>
      </c>
      <c r="K949" s="124">
        <f t="shared" si="194"/>
        <v>0</v>
      </c>
      <c r="L949" s="124">
        <f t="shared" si="194"/>
        <v>0</v>
      </c>
      <c r="M949" s="124">
        <f t="shared" si="194"/>
        <v>0</v>
      </c>
      <c r="N949" s="124">
        <f t="shared" si="194"/>
        <v>0</v>
      </c>
      <c r="O949" s="124">
        <f t="shared" si="194"/>
        <v>0</v>
      </c>
    </row>
    <row r="950" spans="2:15" hidden="1" outlineLevel="2">
      <c r="B950">
        <f t="shared" si="192"/>
        <v>122</v>
      </c>
      <c r="C950" s="73" t="str">
        <v>SpareOfferD17</v>
      </c>
      <c r="D950" t="s">
        <v>304</v>
      </c>
      <c r="F950" s="89">
        <v>0</v>
      </c>
      <c r="G950" s="124">
        <f t="shared" si="194"/>
        <v>0</v>
      </c>
      <c r="H950" s="124">
        <f t="shared" si="194"/>
        <v>0</v>
      </c>
      <c r="I950" s="124">
        <f t="shared" si="194"/>
        <v>0</v>
      </c>
      <c r="J950" s="124">
        <f t="shared" si="194"/>
        <v>0</v>
      </c>
      <c r="K950" s="124">
        <f t="shared" si="194"/>
        <v>0</v>
      </c>
      <c r="L950" s="124">
        <f t="shared" si="194"/>
        <v>0</v>
      </c>
      <c r="M950" s="124">
        <f t="shared" si="194"/>
        <v>0</v>
      </c>
      <c r="N950" s="124">
        <f t="shared" si="194"/>
        <v>0</v>
      </c>
      <c r="O950" s="124">
        <f t="shared" si="194"/>
        <v>0</v>
      </c>
    </row>
    <row r="951" spans="2:15" hidden="1" outlineLevel="2">
      <c r="B951">
        <f t="shared" si="192"/>
        <v>123</v>
      </c>
      <c r="C951" s="73" t="str">
        <v>SpareOfferD18</v>
      </c>
      <c r="D951" t="s">
        <v>304</v>
      </c>
      <c r="F951" s="89">
        <v>0</v>
      </c>
      <c r="G951" s="124">
        <f t="shared" si="194"/>
        <v>0</v>
      </c>
      <c r="H951" s="124">
        <f t="shared" si="194"/>
        <v>0</v>
      </c>
      <c r="I951" s="124">
        <f t="shared" si="194"/>
        <v>0</v>
      </c>
      <c r="J951" s="124">
        <f t="shared" si="194"/>
        <v>0</v>
      </c>
      <c r="K951" s="124">
        <f t="shared" si="194"/>
        <v>0</v>
      </c>
      <c r="L951" s="124">
        <f t="shared" si="194"/>
        <v>0</v>
      </c>
      <c r="M951" s="124">
        <f t="shared" si="194"/>
        <v>0</v>
      </c>
      <c r="N951" s="124">
        <f t="shared" si="194"/>
        <v>0</v>
      </c>
      <c r="O951" s="124">
        <f t="shared" si="194"/>
        <v>0</v>
      </c>
    </row>
    <row r="952" spans="2:15" hidden="1" outlineLevel="2">
      <c r="B952">
        <f t="shared" si="192"/>
        <v>124</v>
      </c>
      <c r="C952" s="73" t="str">
        <v>SpareOfferD19</v>
      </c>
      <c r="D952" t="s">
        <v>304</v>
      </c>
      <c r="F952" s="89">
        <v>0</v>
      </c>
      <c r="G952" s="124">
        <f t="shared" si="194"/>
        <v>0</v>
      </c>
      <c r="H952" s="124">
        <f t="shared" si="194"/>
        <v>0</v>
      </c>
      <c r="I952" s="124">
        <f t="shared" si="194"/>
        <v>0</v>
      </c>
      <c r="J952" s="124">
        <f t="shared" si="194"/>
        <v>0</v>
      </c>
      <c r="K952" s="124">
        <f t="shared" si="194"/>
        <v>0</v>
      </c>
      <c r="L952" s="124">
        <f t="shared" si="194"/>
        <v>0</v>
      </c>
      <c r="M952" s="124">
        <f t="shared" si="194"/>
        <v>0</v>
      </c>
      <c r="N952" s="124">
        <f t="shared" si="194"/>
        <v>0</v>
      </c>
      <c r="O952" s="124">
        <f t="shared" si="194"/>
        <v>0</v>
      </c>
    </row>
    <row r="953" spans="2:15" hidden="1" outlineLevel="2">
      <c r="B953">
        <f t="shared" si="192"/>
        <v>125</v>
      </c>
      <c r="C953" s="73" t="str">
        <v>SpareOfferD20</v>
      </c>
      <c r="D953" t="s">
        <v>304</v>
      </c>
      <c r="F953" s="89">
        <v>0</v>
      </c>
      <c r="G953" s="124">
        <f t="shared" si="194"/>
        <v>0</v>
      </c>
      <c r="H953" s="124">
        <f t="shared" si="194"/>
        <v>0</v>
      </c>
      <c r="I953" s="124">
        <f t="shared" si="194"/>
        <v>0</v>
      </c>
      <c r="J953" s="124">
        <f t="shared" si="194"/>
        <v>0</v>
      </c>
      <c r="K953" s="124">
        <f t="shared" si="194"/>
        <v>0</v>
      </c>
      <c r="L953" s="124">
        <f t="shared" si="194"/>
        <v>0</v>
      </c>
      <c r="M953" s="124">
        <f t="shared" si="194"/>
        <v>0</v>
      </c>
      <c r="N953" s="124">
        <f t="shared" si="194"/>
        <v>0</v>
      </c>
      <c r="O953" s="124">
        <f t="shared" si="194"/>
        <v>0</v>
      </c>
    </row>
    <row r="954" spans="2:15" hidden="1" outlineLevel="2">
      <c r="B954">
        <f t="shared" si="192"/>
        <v>126</v>
      </c>
      <c r="C954" s="73" t="str">
        <v>SpareOfferD21</v>
      </c>
      <c r="D954" t="s">
        <v>304</v>
      </c>
      <c r="F954" s="89">
        <v>0</v>
      </c>
      <c r="G954" s="124">
        <f t="shared" ref="G954:O968" si="195">INDEX(distribution.data.wholesale.tier,$B954,G$931)*$F954</f>
        <v>0</v>
      </c>
      <c r="H954" s="124">
        <f t="shared" si="195"/>
        <v>0</v>
      </c>
      <c r="I954" s="124">
        <f t="shared" si="195"/>
        <v>0</v>
      </c>
      <c r="J954" s="124">
        <f t="shared" si="195"/>
        <v>0</v>
      </c>
      <c r="K954" s="124">
        <f t="shared" si="195"/>
        <v>0</v>
      </c>
      <c r="L954" s="124">
        <f t="shared" si="195"/>
        <v>0</v>
      </c>
      <c r="M954" s="124">
        <f t="shared" si="195"/>
        <v>0</v>
      </c>
      <c r="N954" s="124">
        <f t="shared" si="195"/>
        <v>0</v>
      </c>
      <c r="O954" s="124">
        <f t="shared" si="195"/>
        <v>0</v>
      </c>
    </row>
    <row r="955" spans="2:15" hidden="1" outlineLevel="2">
      <c r="B955">
        <f t="shared" si="192"/>
        <v>127</v>
      </c>
      <c r="C955" s="73" t="str">
        <v>SpareOfferD22</v>
      </c>
      <c r="D955" t="s">
        <v>304</v>
      </c>
      <c r="F955" s="89">
        <v>0</v>
      </c>
      <c r="G955" s="124">
        <f t="shared" si="195"/>
        <v>0</v>
      </c>
      <c r="H955" s="124">
        <f t="shared" si="195"/>
        <v>0</v>
      </c>
      <c r="I955" s="124">
        <f t="shared" si="195"/>
        <v>0</v>
      </c>
      <c r="J955" s="124">
        <f t="shared" si="195"/>
        <v>0</v>
      </c>
      <c r="K955" s="124">
        <f t="shared" si="195"/>
        <v>0</v>
      </c>
      <c r="L955" s="124">
        <f t="shared" si="195"/>
        <v>0</v>
      </c>
      <c r="M955" s="124">
        <f t="shared" si="195"/>
        <v>0</v>
      </c>
      <c r="N955" s="124">
        <f t="shared" si="195"/>
        <v>0</v>
      </c>
      <c r="O955" s="124">
        <f t="shared" si="195"/>
        <v>0</v>
      </c>
    </row>
    <row r="956" spans="2:15" hidden="1" outlineLevel="2">
      <c r="B956">
        <f t="shared" si="192"/>
        <v>128</v>
      </c>
      <c r="C956" s="73" t="str">
        <v>SpareOfferD23</v>
      </c>
      <c r="D956" t="s">
        <v>304</v>
      </c>
      <c r="F956" s="89">
        <v>0</v>
      </c>
      <c r="G956" s="124">
        <f t="shared" si="195"/>
        <v>0</v>
      </c>
      <c r="H956" s="124">
        <f t="shared" si="195"/>
        <v>0</v>
      </c>
      <c r="I956" s="124">
        <f t="shared" si="195"/>
        <v>0</v>
      </c>
      <c r="J956" s="124">
        <f t="shared" si="195"/>
        <v>0</v>
      </c>
      <c r="K956" s="124">
        <f t="shared" si="195"/>
        <v>0</v>
      </c>
      <c r="L956" s="124">
        <f t="shared" si="195"/>
        <v>0</v>
      </c>
      <c r="M956" s="124">
        <f t="shared" si="195"/>
        <v>0</v>
      </c>
      <c r="N956" s="124">
        <f t="shared" si="195"/>
        <v>0</v>
      </c>
      <c r="O956" s="124">
        <f t="shared" si="195"/>
        <v>0</v>
      </c>
    </row>
    <row r="957" spans="2:15" hidden="1" outlineLevel="2">
      <c r="B957">
        <f t="shared" si="192"/>
        <v>129</v>
      </c>
      <c r="C957" s="73" t="str">
        <v>SpareOfferD24</v>
      </c>
      <c r="D957" t="s">
        <v>304</v>
      </c>
      <c r="F957" s="89">
        <v>0</v>
      </c>
      <c r="G957" s="124">
        <f t="shared" si="195"/>
        <v>0</v>
      </c>
      <c r="H957" s="124">
        <f t="shared" si="195"/>
        <v>0</v>
      </c>
      <c r="I957" s="124">
        <f t="shared" si="195"/>
        <v>0</v>
      </c>
      <c r="J957" s="124">
        <f t="shared" si="195"/>
        <v>0</v>
      </c>
      <c r="K957" s="124">
        <f t="shared" si="195"/>
        <v>0</v>
      </c>
      <c r="L957" s="124">
        <f t="shared" si="195"/>
        <v>0</v>
      </c>
      <c r="M957" s="124">
        <f t="shared" si="195"/>
        <v>0</v>
      </c>
      <c r="N957" s="124">
        <f t="shared" si="195"/>
        <v>0</v>
      </c>
      <c r="O957" s="124">
        <f t="shared" si="195"/>
        <v>0</v>
      </c>
    </row>
    <row r="958" spans="2:15" hidden="1" outlineLevel="2">
      <c r="B958">
        <f t="shared" si="192"/>
        <v>130</v>
      </c>
      <c r="C958" s="73" t="str">
        <v>SpareOfferD25</v>
      </c>
      <c r="D958" t="s">
        <v>304</v>
      </c>
      <c r="F958" s="89">
        <v>0</v>
      </c>
      <c r="G958" s="124">
        <f t="shared" si="195"/>
        <v>0</v>
      </c>
      <c r="H958" s="124">
        <f t="shared" si="195"/>
        <v>0</v>
      </c>
      <c r="I958" s="124">
        <f t="shared" si="195"/>
        <v>0</v>
      </c>
      <c r="J958" s="124">
        <f t="shared" si="195"/>
        <v>0</v>
      </c>
      <c r="K958" s="124">
        <f t="shared" si="195"/>
        <v>0</v>
      </c>
      <c r="L958" s="124">
        <f t="shared" si="195"/>
        <v>0</v>
      </c>
      <c r="M958" s="124">
        <f t="shared" si="195"/>
        <v>0</v>
      </c>
      <c r="N958" s="124">
        <f t="shared" si="195"/>
        <v>0</v>
      </c>
      <c r="O958" s="124">
        <f t="shared" si="195"/>
        <v>0</v>
      </c>
    </row>
    <row r="959" spans="2:15" hidden="1" outlineLevel="2">
      <c r="B959">
        <f t="shared" si="192"/>
        <v>131</v>
      </c>
      <c r="C959" s="73" t="str">
        <v>SpareOfferD26</v>
      </c>
      <c r="D959" t="s">
        <v>304</v>
      </c>
      <c r="F959" s="89">
        <v>0</v>
      </c>
      <c r="G959" s="124">
        <f t="shared" si="195"/>
        <v>0</v>
      </c>
      <c r="H959" s="124">
        <f t="shared" si="195"/>
        <v>0</v>
      </c>
      <c r="I959" s="124">
        <f t="shared" si="195"/>
        <v>0</v>
      </c>
      <c r="J959" s="124">
        <f t="shared" si="195"/>
        <v>0</v>
      </c>
      <c r="K959" s="124">
        <f t="shared" si="195"/>
        <v>0</v>
      </c>
      <c r="L959" s="124">
        <f t="shared" si="195"/>
        <v>0</v>
      </c>
      <c r="M959" s="124">
        <f t="shared" si="195"/>
        <v>0</v>
      </c>
      <c r="N959" s="124">
        <f t="shared" si="195"/>
        <v>0</v>
      </c>
      <c r="O959" s="124">
        <f t="shared" si="195"/>
        <v>0</v>
      </c>
    </row>
    <row r="960" spans="2:15" hidden="1" outlineLevel="2">
      <c r="B960">
        <f t="shared" si="192"/>
        <v>132</v>
      </c>
      <c r="C960" s="73" t="str">
        <v>SpareOfferD27</v>
      </c>
      <c r="D960" t="s">
        <v>304</v>
      </c>
      <c r="F960" s="89">
        <v>0</v>
      </c>
      <c r="G960" s="124">
        <f t="shared" si="195"/>
        <v>0</v>
      </c>
      <c r="H960" s="124">
        <f t="shared" si="195"/>
        <v>0</v>
      </c>
      <c r="I960" s="124">
        <f t="shared" si="195"/>
        <v>0</v>
      </c>
      <c r="J960" s="124">
        <f t="shared" si="195"/>
        <v>0</v>
      </c>
      <c r="K960" s="124">
        <f t="shared" si="195"/>
        <v>0</v>
      </c>
      <c r="L960" s="124">
        <f t="shared" si="195"/>
        <v>0</v>
      </c>
      <c r="M960" s="124">
        <f t="shared" si="195"/>
        <v>0</v>
      </c>
      <c r="N960" s="124">
        <f t="shared" si="195"/>
        <v>0</v>
      </c>
      <c r="O960" s="124">
        <f t="shared" si="195"/>
        <v>0</v>
      </c>
    </row>
    <row r="961" spans="2:15" hidden="1" outlineLevel="2">
      <c r="B961">
        <f t="shared" si="192"/>
        <v>133</v>
      </c>
      <c r="C961" s="73" t="str">
        <v>SpareOfferD28</v>
      </c>
      <c r="D961" t="s">
        <v>304</v>
      </c>
      <c r="F961" s="89">
        <v>0</v>
      </c>
      <c r="G961" s="124">
        <f t="shared" si="195"/>
        <v>0</v>
      </c>
      <c r="H961" s="124">
        <f t="shared" si="195"/>
        <v>0</v>
      </c>
      <c r="I961" s="124">
        <f t="shared" si="195"/>
        <v>0</v>
      </c>
      <c r="J961" s="124">
        <f t="shared" si="195"/>
        <v>0</v>
      </c>
      <c r="K961" s="124">
        <f t="shared" si="195"/>
        <v>0</v>
      </c>
      <c r="L961" s="124">
        <f t="shared" si="195"/>
        <v>0</v>
      </c>
      <c r="M961" s="124">
        <f t="shared" si="195"/>
        <v>0</v>
      </c>
      <c r="N961" s="124">
        <f t="shared" si="195"/>
        <v>0</v>
      </c>
      <c r="O961" s="124">
        <f t="shared" si="195"/>
        <v>0</v>
      </c>
    </row>
    <row r="962" spans="2:15" hidden="1" outlineLevel="2">
      <c r="B962">
        <f t="shared" si="192"/>
        <v>134</v>
      </c>
      <c r="C962" s="73" t="str">
        <v>SpareOfferD29</v>
      </c>
      <c r="D962" t="s">
        <v>304</v>
      </c>
      <c r="F962" s="89">
        <v>0</v>
      </c>
      <c r="G962" s="124">
        <f t="shared" si="195"/>
        <v>0</v>
      </c>
      <c r="H962" s="124">
        <f t="shared" si="195"/>
        <v>0</v>
      </c>
      <c r="I962" s="124">
        <f t="shared" si="195"/>
        <v>0</v>
      </c>
      <c r="J962" s="124">
        <f t="shared" si="195"/>
        <v>0</v>
      </c>
      <c r="K962" s="124">
        <f t="shared" si="195"/>
        <v>0</v>
      </c>
      <c r="L962" s="124">
        <f t="shared" si="195"/>
        <v>0</v>
      </c>
      <c r="M962" s="124">
        <f t="shared" si="195"/>
        <v>0</v>
      </c>
      <c r="N962" s="124">
        <f t="shared" si="195"/>
        <v>0</v>
      </c>
      <c r="O962" s="124">
        <f t="shared" si="195"/>
        <v>0</v>
      </c>
    </row>
    <row r="963" spans="2:15" hidden="1" outlineLevel="2">
      <c r="B963">
        <f t="shared" si="192"/>
        <v>135</v>
      </c>
      <c r="C963" s="73" t="str">
        <v>SpareOfferD30</v>
      </c>
      <c r="D963" t="s">
        <v>304</v>
      </c>
      <c r="F963" s="89">
        <v>0</v>
      </c>
      <c r="G963" s="124">
        <f t="shared" si="195"/>
        <v>0</v>
      </c>
      <c r="H963" s="124">
        <f t="shared" si="195"/>
        <v>0</v>
      </c>
      <c r="I963" s="124">
        <f t="shared" si="195"/>
        <v>0</v>
      </c>
      <c r="J963" s="124">
        <f t="shared" si="195"/>
        <v>0</v>
      </c>
      <c r="K963" s="124">
        <f t="shared" si="195"/>
        <v>0</v>
      </c>
      <c r="L963" s="124">
        <f t="shared" si="195"/>
        <v>0</v>
      </c>
      <c r="M963" s="124">
        <f t="shared" si="195"/>
        <v>0</v>
      </c>
      <c r="N963" s="124">
        <f t="shared" si="195"/>
        <v>0</v>
      </c>
      <c r="O963" s="124">
        <f t="shared" si="195"/>
        <v>0</v>
      </c>
    </row>
    <row r="964" spans="2:15" hidden="1" outlineLevel="2">
      <c r="B964">
        <f t="shared" si="192"/>
        <v>136</v>
      </c>
      <c r="C964" s="73" t="str">
        <v>SpareOfferD31</v>
      </c>
      <c r="D964" t="s">
        <v>304</v>
      </c>
      <c r="F964" s="89">
        <v>0</v>
      </c>
      <c r="G964" s="124">
        <f t="shared" si="195"/>
        <v>0</v>
      </c>
      <c r="H964" s="124">
        <f t="shared" si="195"/>
        <v>0</v>
      </c>
      <c r="I964" s="124">
        <f t="shared" si="195"/>
        <v>0</v>
      </c>
      <c r="J964" s="124">
        <f t="shared" si="195"/>
        <v>0</v>
      </c>
      <c r="K964" s="124">
        <f t="shared" si="195"/>
        <v>0</v>
      </c>
      <c r="L964" s="124">
        <f t="shared" si="195"/>
        <v>0</v>
      </c>
      <c r="M964" s="124">
        <f t="shared" si="195"/>
        <v>0</v>
      </c>
      <c r="N964" s="124">
        <f t="shared" si="195"/>
        <v>0</v>
      </c>
      <c r="O964" s="124">
        <f t="shared" si="195"/>
        <v>0</v>
      </c>
    </row>
    <row r="965" spans="2:15" hidden="1" outlineLevel="2">
      <c r="B965">
        <f t="shared" si="192"/>
        <v>137</v>
      </c>
      <c r="C965" s="73" t="str">
        <v>SpareOfferD32</v>
      </c>
      <c r="D965" t="s">
        <v>304</v>
      </c>
      <c r="F965" s="89">
        <v>0</v>
      </c>
      <c r="G965" s="124">
        <f t="shared" si="195"/>
        <v>0</v>
      </c>
      <c r="H965" s="124">
        <f t="shared" si="195"/>
        <v>0</v>
      </c>
      <c r="I965" s="124">
        <f t="shared" si="195"/>
        <v>0</v>
      </c>
      <c r="J965" s="124">
        <f t="shared" si="195"/>
        <v>0</v>
      </c>
      <c r="K965" s="124">
        <f t="shared" si="195"/>
        <v>0</v>
      </c>
      <c r="L965" s="124">
        <f t="shared" si="195"/>
        <v>0</v>
      </c>
      <c r="M965" s="124">
        <f t="shared" si="195"/>
        <v>0</v>
      </c>
      <c r="N965" s="124">
        <f t="shared" si="195"/>
        <v>0</v>
      </c>
      <c r="O965" s="124">
        <f t="shared" si="195"/>
        <v>0</v>
      </c>
    </row>
    <row r="966" spans="2:15" hidden="1" outlineLevel="2">
      <c r="B966">
        <f t="shared" si="192"/>
        <v>138</v>
      </c>
      <c r="C966" s="73" t="str">
        <v>SpareOfferD33</v>
      </c>
      <c r="D966" t="s">
        <v>304</v>
      </c>
      <c r="F966" s="89">
        <v>0</v>
      </c>
      <c r="G966" s="124">
        <f t="shared" si="195"/>
        <v>0</v>
      </c>
      <c r="H966" s="124">
        <f t="shared" si="195"/>
        <v>0</v>
      </c>
      <c r="I966" s="124">
        <f t="shared" si="195"/>
        <v>0</v>
      </c>
      <c r="J966" s="124">
        <f t="shared" si="195"/>
        <v>0</v>
      </c>
      <c r="K966" s="124">
        <f t="shared" si="195"/>
        <v>0</v>
      </c>
      <c r="L966" s="124">
        <f t="shared" si="195"/>
        <v>0</v>
      </c>
      <c r="M966" s="124">
        <f t="shared" si="195"/>
        <v>0</v>
      </c>
      <c r="N966" s="124">
        <f t="shared" si="195"/>
        <v>0</v>
      </c>
      <c r="O966" s="124">
        <f t="shared" si="195"/>
        <v>0</v>
      </c>
    </row>
    <row r="967" spans="2:15" hidden="1" outlineLevel="2">
      <c r="B967">
        <f t="shared" si="192"/>
        <v>139</v>
      </c>
      <c r="C967" s="73" t="str">
        <v>SpareOfferD34</v>
      </c>
      <c r="D967" t="s">
        <v>304</v>
      </c>
      <c r="F967" s="89">
        <v>0</v>
      </c>
      <c r="G967" s="124">
        <f t="shared" si="195"/>
        <v>0</v>
      </c>
      <c r="H967" s="124">
        <f t="shared" si="195"/>
        <v>0</v>
      </c>
      <c r="I967" s="124">
        <f t="shared" si="195"/>
        <v>0</v>
      </c>
      <c r="J967" s="124">
        <f t="shared" si="195"/>
        <v>0</v>
      </c>
      <c r="K967" s="124">
        <f t="shared" si="195"/>
        <v>0</v>
      </c>
      <c r="L967" s="124">
        <f t="shared" si="195"/>
        <v>0</v>
      </c>
      <c r="M967" s="124">
        <f t="shared" si="195"/>
        <v>0</v>
      </c>
      <c r="N967" s="124">
        <f t="shared" si="195"/>
        <v>0</v>
      </c>
      <c r="O967" s="124">
        <f t="shared" si="195"/>
        <v>0</v>
      </c>
    </row>
    <row r="968" spans="2:15" outlineLevel="1" collapsed="1">
      <c r="B968">
        <f t="shared" si="192"/>
        <v>140</v>
      </c>
      <c r="C968" s="73" t="str">
        <v>-</v>
      </c>
      <c r="D968" t="s">
        <v>304</v>
      </c>
      <c r="F968" s="89">
        <v>0</v>
      </c>
      <c r="G968" s="124">
        <f t="shared" si="195"/>
        <v>0</v>
      </c>
      <c r="H968" s="124">
        <f t="shared" si="195"/>
        <v>0</v>
      </c>
      <c r="I968" s="124">
        <f t="shared" si="195"/>
        <v>0</v>
      </c>
      <c r="J968" s="124">
        <f t="shared" si="195"/>
        <v>0</v>
      </c>
      <c r="K968" s="124">
        <f t="shared" si="195"/>
        <v>0</v>
      </c>
      <c r="L968" s="124">
        <f t="shared" si="195"/>
        <v>0</v>
      </c>
      <c r="M968" s="124">
        <f t="shared" si="195"/>
        <v>0</v>
      </c>
      <c r="N968" s="124">
        <f t="shared" si="195"/>
        <v>0</v>
      </c>
      <c r="O968" s="124">
        <f t="shared" si="195"/>
        <v>0</v>
      </c>
    </row>
    <row r="969" spans="2:15" outlineLevel="1"/>
    <row r="970" spans="2:15" outlineLevel="1">
      <c r="B970" s="91" t="s">
        <v>325</v>
      </c>
    </row>
    <row r="971" spans="2:15" outlineLevel="1"/>
    <row r="972" spans="2:15" outlineLevel="1">
      <c r="F972" s="149" t="s">
        <v>89</v>
      </c>
    </row>
    <row r="973" spans="2:15" outlineLevel="1">
      <c r="C973" s="93" t="s">
        <v>270</v>
      </c>
      <c r="F973" s="114">
        <f>SUMPRODUCT(F974:F1008,subscription.split.segment.4)</f>
        <v>0</v>
      </c>
    </row>
    <row r="974" spans="2:15" outlineLevel="1">
      <c r="C974" s="73" t="str">
        <f t="array" ref="C974:C1008">offers.segment.4</f>
        <v>SpareOfferD1</v>
      </c>
      <c r="D974" s="97" t="s">
        <v>189</v>
      </c>
      <c r="F974" s="142">
        <f>F1012+F1051+F1090</f>
        <v>0</v>
      </c>
    </row>
    <row r="975" spans="2:15" hidden="1" outlineLevel="2">
      <c r="C975" s="73" t="str">
        <v>SpareOfferD2</v>
      </c>
      <c r="D975" s="97" t="s">
        <v>189</v>
      </c>
      <c r="F975" s="142">
        <f t="shared" ref="F975:F1008" si="196">F1013+F1052+F1091</f>
        <v>0</v>
      </c>
    </row>
    <row r="976" spans="2:15" hidden="1" outlineLevel="2">
      <c r="C976" s="73" t="str">
        <v>SpareOfferD3</v>
      </c>
      <c r="D976" s="97" t="s">
        <v>189</v>
      </c>
      <c r="F976" s="142">
        <f t="shared" si="196"/>
        <v>0</v>
      </c>
    </row>
    <row r="977" spans="3:6" hidden="1" outlineLevel="2">
      <c r="C977" s="73" t="str">
        <v>SpareOfferD4</v>
      </c>
      <c r="D977" s="97" t="s">
        <v>189</v>
      </c>
      <c r="F977" s="142">
        <f t="shared" si="196"/>
        <v>0</v>
      </c>
    </row>
    <row r="978" spans="3:6" hidden="1" outlineLevel="2">
      <c r="C978" s="73" t="str">
        <v>SpareOfferD5</v>
      </c>
      <c r="D978" s="97" t="s">
        <v>189</v>
      </c>
      <c r="F978" s="142">
        <f t="shared" si="196"/>
        <v>0</v>
      </c>
    </row>
    <row r="979" spans="3:6" hidden="1" outlineLevel="2">
      <c r="C979" s="73" t="str">
        <v>SpareOfferD6</v>
      </c>
      <c r="D979" s="97" t="s">
        <v>189</v>
      </c>
      <c r="F979" s="142">
        <f t="shared" si="196"/>
        <v>0</v>
      </c>
    </row>
    <row r="980" spans="3:6" hidden="1" outlineLevel="2">
      <c r="C980" s="73" t="str">
        <v>SpareOfferD7</v>
      </c>
      <c r="D980" s="97" t="s">
        <v>189</v>
      </c>
      <c r="F980" s="142">
        <f t="shared" si="196"/>
        <v>0</v>
      </c>
    </row>
    <row r="981" spans="3:6" hidden="1" outlineLevel="2">
      <c r="C981" s="73" t="str">
        <v>SpareOfferD8</v>
      </c>
      <c r="D981" s="97" t="s">
        <v>189</v>
      </c>
      <c r="F981" s="142">
        <f t="shared" si="196"/>
        <v>0</v>
      </c>
    </row>
    <row r="982" spans="3:6" hidden="1" outlineLevel="2">
      <c r="C982" s="73" t="str">
        <v>SpareOfferD9</v>
      </c>
      <c r="D982" s="97" t="s">
        <v>189</v>
      </c>
      <c r="F982" s="142">
        <f t="shared" si="196"/>
        <v>0</v>
      </c>
    </row>
    <row r="983" spans="3:6" hidden="1" outlineLevel="2">
      <c r="C983" s="73" t="str">
        <v>SpareOfferD10</v>
      </c>
      <c r="D983" s="97" t="s">
        <v>189</v>
      </c>
      <c r="F983" s="142">
        <f t="shared" si="196"/>
        <v>0</v>
      </c>
    </row>
    <row r="984" spans="3:6" hidden="1" outlineLevel="2">
      <c r="C984" s="73" t="str">
        <v>SpareOfferD11</v>
      </c>
      <c r="D984" s="97" t="s">
        <v>189</v>
      </c>
      <c r="F984" s="142">
        <f t="shared" si="196"/>
        <v>0</v>
      </c>
    </row>
    <row r="985" spans="3:6" hidden="1" outlineLevel="2">
      <c r="C985" s="73" t="str">
        <v>SpareOfferD12</v>
      </c>
      <c r="D985" s="97" t="s">
        <v>189</v>
      </c>
      <c r="F985" s="142">
        <f t="shared" si="196"/>
        <v>0</v>
      </c>
    </row>
    <row r="986" spans="3:6" hidden="1" outlineLevel="2">
      <c r="C986" s="73" t="str">
        <v>SpareOfferD13</v>
      </c>
      <c r="D986" s="97" t="s">
        <v>189</v>
      </c>
      <c r="F986" s="142">
        <f t="shared" si="196"/>
        <v>0</v>
      </c>
    </row>
    <row r="987" spans="3:6" hidden="1" outlineLevel="2">
      <c r="C987" s="73" t="str">
        <v>SpareOfferD14</v>
      </c>
      <c r="D987" s="97" t="s">
        <v>189</v>
      </c>
      <c r="F987" s="142">
        <f t="shared" si="196"/>
        <v>0</v>
      </c>
    </row>
    <row r="988" spans="3:6" hidden="1" outlineLevel="2">
      <c r="C988" s="73" t="str">
        <v>SpareOfferD15</v>
      </c>
      <c r="D988" s="97" t="s">
        <v>189</v>
      </c>
      <c r="F988" s="142">
        <f t="shared" si="196"/>
        <v>0</v>
      </c>
    </row>
    <row r="989" spans="3:6" hidden="1" outlineLevel="2">
      <c r="C989" s="73" t="str">
        <v>SpareOfferD16</v>
      </c>
      <c r="D989" s="97" t="s">
        <v>189</v>
      </c>
      <c r="F989" s="142">
        <f t="shared" si="196"/>
        <v>0</v>
      </c>
    </row>
    <row r="990" spans="3:6" hidden="1" outlineLevel="2">
      <c r="C990" s="73" t="str">
        <v>SpareOfferD17</v>
      </c>
      <c r="D990" s="97" t="s">
        <v>189</v>
      </c>
      <c r="F990" s="142">
        <f t="shared" si="196"/>
        <v>0</v>
      </c>
    </row>
    <row r="991" spans="3:6" hidden="1" outlineLevel="2">
      <c r="C991" s="73" t="str">
        <v>SpareOfferD18</v>
      </c>
      <c r="D991" s="97" t="s">
        <v>189</v>
      </c>
      <c r="F991" s="142">
        <f t="shared" si="196"/>
        <v>0</v>
      </c>
    </row>
    <row r="992" spans="3:6" hidden="1" outlineLevel="2">
      <c r="C992" s="73" t="str">
        <v>SpareOfferD19</v>
      </c>
      <c r="D992" s="97" t="s">
        <v>189</v>
      </c>
      <c r="F992" s="142">
        <f t="shared" si="196"/>
        <v>0</v>
      </c>
    </row>
    <row r="993" spans="3:6" hidden="1" outlineLevel="2">
      <c r="C993" s="73" t="str">
        <v>SpareOfferD20</v>
      </c>
      <c r="D993" s="97" t="s">
        <v>189</v>
      </c>
      <c r="F993" s="142">
        <f t="shared" si="196"/>
        <v>0</v>
      </c>
    </row>
    <row r="994" spans="3:6" hidden="1" outlineLevel="2">
      <c r="C994" s="73" t="str">
        <v>SpareOfferD21</v>
      </c>
      <c r="D994" s="97" t="s">
        <v>189</v>
      </c>
      <c r="F994" s="142">
        <f t="shared" si="196"/>
        <v>0</v>
      </c>
    </row>
    <row r="995" spans="3:6" hidden="1" outlineLevel="2">
      <c r="C995" s="73" t="str">
        <v>SpareOfferD22</v>
      </c>
      <c r="D995" s="97" t="s">
        <v>189</v>
      </c>
      <c r="F995" s="142">
        <f t="shared" si="196"/>
        <v>0</v>
      </c>
    </row>
    <row r="996" spans="3:6" hidden="1" outlineLevel="2">
      <c r="C996" s="73" t="str">
        <v>SpareOfferD23</v>
      </c>
      <c r="D996" s="97" t="s">
        <v>189</v>
      </c>
      <c r="F996" s="142">
        <f t="shared" si="196"/>
        <v>0</v>
      </c>
    </row>
    <row r="997" spans="3:6" hidden="1" outlineLevel="2">
      <c r="C997" s="73" t="str">
        <v>SpareOfferD24</v>
      </c>
      <c r="D997" s="97" t="s">
        <v>189</v>
      </c>
      <c r="F997" s="142">
        <f t="shared" si="196"/>
        <v>0</v>
      </c>
    </row>
    <row r="998" spans="3:6" hidden="1" outlineLevel="2">
      <c r="C998" s="73" t="str">
        <v>SpareOfferD25</v>
      </c>
      <c r="D998" s="97" t="s">
        <v>189</v>
      </c>
      <c r="F998" s="142">
        <f t="shared" si="196"/>
        <v>0</v>
      </c>
    </row>
    <row r="999" spans="3:6" hidden="1" outlineLevel="2">
      <c r="C999" s="73" t="str">
        <v>SpareOfferD26</v>
      </c>
      <c r="D999" s="97" t="s">
        <v>189</v>
      </c>
      <c r="F999" s="142">
        <f t="shared" si="196"/>
        <v>0</v>
      </c>
    </row>
    <row r="1000" spans="3:6" hidden="1" outlineLevel="2">
      <c r="C1000" s="73" t="str">
        <v>SpareOfferD27</v>
      </c>
      <c r="D1000" s="97" t="s">
        <v>189</v>
      </c>
      <c r="F1000" s="142">
        <f t="shared" si="196"/>
        <v>0</v>
      </c>
    </row>
    <row r="1001" spans="3:6" hidden="1" outlineLevel="2">
      <c r="C1001" s="73" t="str">
        <v>SpareOfferD28</v>
      </c>
      <c r="D1001" s="97" t="s">
        <v>189</v>
      </c>
      <c r="F1001" s="142">
        <f t="shared" si="196"/>
        <v>0</v>
      </c>
    </row>
    <row r="1002" spans="3:6" hidden="1" outlineLevel="2">
      <c r="C1002" s="73" t="str">
        <v>SpareOfferD29</v>
      </c>
      <c r="D1002" s="97" t="s">
        <v>189</v>
      </c>
      <c r="F1002" s="142">
        <f t="shared" si="196"/>
        <v>0</v>
      </c>
    </row>
    <row r="1003" spans="3:6" hidden="1" outlineLevel="2">
      <c r="C1003" s="73" t="str">
        <v>SpareOfferD30</v>
      </c>
      <c r="D1003" s="97" t="s">
        <v>189</v>
      </c>
      <c r="F1003" s="142">
        <f t="shared" si="196"/>
        <v>0</v>
      </c>
    </row>
    <row r="1004" spans="3:6" hidden="1" outlineLevel="2">
      <c r="C1004" s="73" t="str">
        <v>SpareOfferD31</v>
      </c>
      <c r="D1004" s="97" t="s">
        <v>189</v>
      </c>
      <c r="F1004" s="142">
        <f t="shared" si="196"/>
        <v>0</v>
      </c>
    </row>
    <row r="1005" spans="3:6" hidden="1" outlineLevel="2">
      <c r="C1005" s="73" t="str">
        <v>SpareOfferD32</v>
      </c>
      <c r="D1005" s="97" t="s">
        <v>189</v>
      </c>
      <c r="F1005" s="142">
        <f t="shared" si="196"/>
        <v>0</v>
      </c>
    </row>
    <row r="1006" spans="3:6" hidden="1" outlineLevel="2">
      <c r="C1006" s="73" t="str">
        <v>SpareOfferD33</v>
      </c>
      <c r="D1006" s="97" t="s">
        <v>189</v>
      </c>
      <c r="F1006" s="142">
        <f t="shared" si="196"/>
        <v>0</v>
      </c>
    </row>
    <row r="1007" spans="3:6" hidden="1" outlineLevel="2">
      <c r="C1007" s="73" t="str">
        <v>SpareOfferD34</v>
      </c>
      <c r="D1007" s="97" t="s">
        <v>189</v>
      </c>
      <c r="F1007" s="142">
        <f t="shared" si="196"/>
        <v>0</v>
      </c>
    </row>
    <row r="1008" spans="3:6" outlineLevel="1" collapsed="1">
      <c r="C1008" s="73" t="str">
        <v>-</v>
      </c>
      <c r="D1008" s="97" t="s">
        <v>189</v>
      </c>
      <c r="F1008" s="142">
        <f t="shared" si="196"/>
        <v>0</v>
      </c>
    </row>
    <row r="1009" spans="3:7" ht="12" outlineLevel="1">
      <c r="F1009" s="153" t="s">
        <v>331</v>
      </c>
    </row>
    <row r="1010" spans="3:7" outlineLevel="1">
      <c r="C1010" s="93" t="s">
        <v>318</v>
      </c>
      <c r="F1010" s="149" t="s">
        <v>89</v>
      </c>
    </row>
    <row r="1011" spans="3:7" outlineLevel="1">
      <c r="C1011" s="35" t="s">
        <v>89</v>
      </c>
      <c r="D1011" s="97" t="s">
        <v>189</v>
      </c>
      <c r="F1011" s="101">
        <f>$F$22</f>
        <v>0</v>
      </c>
      <c r="G1011" s="1" t="s">
        <v>310</v>
      </c>
    </row>
    <row r="1012" spans="3:7" outlineLevel="1">
      <c r="C1012" s="73" t="str">
        <f t="array" ref="C1012:C1046">offers.segment.4</f>
        <v>SpareOfferD1</v>
      </c>
      <c r="D1012" s="97" t="s">
        <v>189</v>
      </c>
      <c r="F1012" s="168">
        <f t="shared" ref="F1012:F1046" si="197">F$1011*IF(G1012=0, 0, 1)</f>
        <v>0</v>
      </c>
      <c r="G1012" s="228">
        <f t="array" ref="G1012:G1046">subscription.split.segment.4</f>
        <v>0</v>
      </c>
    </row>
    <row r="1013" spans="3:7" hidden="1" outlineLevel="2">
      <c r="C1013" s="73" t="str">
        <v>SpareOfferD2</v>
      </c>
      <c r="D1013" s="97" t="s">
        <v>189</v>
      </c>
      <c r="F1013" s="168">
        <f t="shared" si="197"/>
        <v>0</v>
      </c>
      <c r="G1013" s="228">
        <v>0</v>
      </c>
    </row>
    <row r="1014" spans="3:7" hidden="1" outlineLevel="2">
      <c r="C1014" s="73" t="str">
        <v>SpareOfferD3</v>
      </c>
      <c r="D1014" s="97" t="s">
        <v>189</v>
      </c>
      <c r="F1014" s="168">
        <f t="shared" si="197"/>
        <v>0</v>
      </c>
      <c r="G1014" s="228">
        <v>0</v>
      </c>
    </row>
    <row r="1015" spans="3:7" hidden="1" outlineLevel="2">
      <c r="C1015" s="73" t="str">
        <v>SpareOfferD4</v>
      </c>
      <c r="D1015" s="97" t="s">
        <v>189</v>
      </c>
      <c r="F1015" s="168">
        <f t="shared" si="197"/>
        <v>0</v>
      </c>
      <c r="G1015" s="228">
        <v>0</v>
      </c>
    </row>
    <row r="1016" spans="3:7" hidden="1" outlineLevel="2">
      <c r="C1016" s="73" t="str">
        <v>SpareOfferD5</v>
      </c>
      <c r="D1016" s="97" t="s">
        <v>189</v>
      </c>
      <c r="F1016" s="168">
        <f t="shared" si="197"/>
        <v>0</v>
      </c>
      <c r="G1016" s="228">
        <v>0</v>
      </c>
    </row>
    <row r="1017" spans="3:7" hidden="1" outlineLevel="2">
      <c r="C1017" s="73" t="str">
        <v>SpareOfferD6</v>
      </c>
      <c r="D1017" s="97" t="s">
        <v>189</v>
      </c>
      <c r="F1017" s="168">
        <f t="shared" si="197"/>
        <v>0</v>
      </c>
      <c r="G1017" s="228">
        <v>0</v>
      </c>
    </row>
    <row r="1018" spans="3:7" hidden="1" outlineLevel="2">
      <c r="C1018" s="73" t="str">
        <v>SpareOfferD7</v>
      </c>
      <c r="D1018" s="97" t="s">
        <v>189</v>
      </c>
      <c r="F1018" s="168">
        <f t="shared" si="197"/>
        <v>0</v>
      </c>
      <c r="G1018" s="228">
        <v>0</v>
      </c>
    </row>
    <row r="1019" spans="3:7" hidden="1" outlineLevel="2">
      <c r="C1019" s="73" t="str">
        <v>SpareOfferD8</v>
      </c>
      <c r="D1019" s="97" t="s">
        <v>189</v>
      </c>
      <c r="F1019" s="168">
        <f t="shared" si="197"/>
        <v>0</v>
      </c>
      <c r="G1019" s="228">
        <v>0</v>
      </c>
    </row>
    <row r="1020" spans="3:7" hidden="1" outlineLevel="2">
      <c r="C1020" s="73" t="str">
        <v>SpareOfferD9</v>
      </c>
      <c r="D1020" s="97" t="s">
        <v>189</v>
      </c>
      <c r="F1020" s="168">
        <f t="shared" si="197"/>
        <v>0</v>
      </c>
      <c r="G1020" s="228">
        <v>0</v>
      </c>
    </row>
    <row r="1021" spans="3:7" hidden="1" outlineLevel="2">
      <c r="C1021" s="73" t="str">
        <v>SpareOfferD10</v>
      </c>
      <c r="D1021" s="97" t="s">
        <v>189</v>
      </c>
      <c r="F1021" s="168">
        <f t="shared" si="197"/>
        <v>0</v>
      </c>
      <c r="G1021" s="228">
        <v>0</v>
      </c>
    </row>
    <row r="1022" spans="3:7" hidden="1" outlineLevel="2">
      <c r="C1022" s="73" t="str">
        <v>SpareOfferD11</v>
      </c>
      <c r="D1022" s="97" t="s">
        <v>189</v>
      </c>
      <c r="F1022" s="168">
        <f t="shared" si="197"/>
        <v>0</v>
      </c>
      <c r="G1022" s="228">
        <v>0</v>
      </c>
    </row>
    <row r="1023" spans="3:7" hidden="1" outlineLevel="2">
      <c r="C1023" s="73" t="str">
        <v>SpareOfferD12</v>
      </c>
      <c r="D1023" s="97" t="s">
        <v>189</v>
      </c>
      <c r="F1023" s="168">
        <f t="shared" si="197"/>
        <v>0</v>
      </c>
      <c r="G1023" s="228">
        <v>0</v>
      </c>
    </row>
    <row r="1024" spans="3:7" hidden="1" outlineLevel="2">
      <c r="C1024" s="73" t="str">
        <v>SpareOfferD13</v>
      </c>
      <c r="D1024" s="97" t="s">
        <v>189</v>
      </c>
      <c r="F1024" s="168">
        <f t="shared" si="197"/>
        <v>0</v>
      </c>
      <c r="G1024" s="228">
        <v>0</v>
      </c>
    </row>
    <row r="1025" spans="3:7" hidden="1" outlineLevel="2">
      <c r="C1025" s="73" t="str">
        <v>SpareOfferD14</v>
      </c>
      <c r="D1025" s="97" t="s">
        <v>189</v>
      </c>
      <c r="F1025" s="168">
        <f t="shared" si="197"/>
        <v>0</v>
      </c>
      <c r="G1025" s="228">
        <v>0</v>
      </c>
    </row>
    <row r="1026" spans="3:7" hidden="1" outlineLevel="2">
      <c r="C1026" s="73" t="str">
        <v>SpareOfferD15</v>
      </c>
      <c r="D1026" s="97" t="s">
        <v>189</v>
      </c>
      <c r="F1026" s="168">
        <f t="shared" si="197"/>
        <v>0</v>
      </c>
      <c r="G1026" s="228">
        <v>0</v>
      </c>
    </row>
    <row r="1027" spans="3:7" hidden="1" outlineLevel="2">
      <c r="C1027" s="73" t="str">
        <v>SpareOfferD16</v>
      </c>
      <c r="D1027" s="97" t="s">
        <v>189</v>
      </c>
      <c r="F1027" s="168">
        <f t="shared" si="197"/>
        <v>0</v>
      </c>
      <c r="G1027" s="228">
        <v>0</v>
      </c>
    </row>
    <row r="1028" spans="3:7" hidden="1" outlineLevel="2">
      <c r="C1028" s="73" t="str">
        <v>SpareOfferD17</v>
      </c>
      <c r="D1028" s="97" t="s">
        <v>189</v>
      </c>
      <c r="F1028" s="168">
        <f t="shared" si="197"/>
        <v>0</v>
      </c>
      <c r="G1028" s="228">
        <v>0</v>
      </c>
    </row>
    <row r="1029" spans="3:7" hidden="1" outlineLevel="2">
      <c r="C1029" s="73" t="str">
        <v>SpareOfferD18</v>
      </c>
      <c r="D1029" s="97" t="s">
        <v>189</v>
      </c>
      <c r="F1029" s="168">
        <f t="shared" si="197"/>
        <v>0</v>
      </c>
      <c r="G1029" s="228">
        <v>0</v>
      </c>
    </row>
    <row r="1030" spans="3:7" hidden="1" outlineLevel="2">
      <c r="C1030" s="73" t="str">
        <v>SpareOfferD19</v>
      </c>
      <c r="D1030" s="97" t="s">
        <v>189</v>
      </c>
      <c r="F1030" s="168">
        <f t="shared" si="197"/>
        <v>0</v>
      </c>
      <c r="G1030" s="228">
        <v>0</v>
      </c>
    </row>
    <row r="1031" spans="3:7" hidden="1" outlineLevel="2">
      <c r="C1031" s="73" t="str">
        <v>SpareOfferD20</v>
      </c>
      <c r="D1031" s="97" t="s">
        <v>189</v>
      </c>
      <c r="F1031" s="168">
        <f t="shared" si="197"/>
        <v>0</v>
      </c>
      <c r="G1031" s="228">
        <v>0</v>
      </c>
    </row>
    <row r="1032" spans="3:7" hidden="1" outlineLevel="2">
      <c r="C1032" s="73" t="str">
        <v>SpareOfferD21</v>
      </c>
      <c r="D1032" s="97" t="s">
        <v>189</v>
      </c>
      <c r="F1032" s="168">
        <f t="shared" si="197"/>
        <v>0</v>
      </c>
      <c r="G1032" s="228">
        <v>0</v>
      </c>
    </row>
    <row r="1033" spans="3:7" hidden="1" outlineLevel="2">
      <c r="C1033" s="73" t="str">
        <v>SpareOfferD22</v>
      </c>
      <c r="D1033" s="97" t="s">
        <v>189</v>
      </c>
      <c r="F1033" s="168">
        <f t="shared" si="197"/>
        <v>0</v>
      </c>
      <c r="G1033" s="228">
        <v>0</v>
      </c>
    </row>
    <row r="1034" spans="3:7" hidden="1" outlineLevel="2">
      <c r="C1034" s="73" t="str">
        <v>SpareOfferD23</v>
      </c>
      <c r="D1034" s="97" t="s">
        <v>189</v>
      </c>
      <c r="F1034" s="168">
        <f t="shared" si="197"/>
        <v>0</v>
      </c>
      <c r="G1034" s="228">
        <v>0</v>
      </c>
    </row>
    <row r="1035" spans="3:7" hidden="1" outlineLevel="2">
      <c r="C1035" s="73" t="str">
        <v>SpareOfferD24</v>
      </c>
      <c r="D1035" s="97" t="s">
        <v>189</v>
      </c>
      <c r="F1035" s="168">
        <f t="shared" si="197"/>
        <v>0</v>
      </c>
      <c r="G1035" s="228">
        <v>0</v>
      </c>
    </row>
    <row r="1036" spans="3:7" hidden="1" outlineLevel="2">
      <c r="C1036" s="73" t="str">
        <v>SpareOfferD25</v>
      </c>
      <c r="D1036" s="97" t="s">
        <v>189</v>
      </c>
      <c r="F1036" s="168">
        <f t="shared" si="197"/>
        <v>0</v>
      </c>
      <c r="G1036" s="228">
        <v>0</v>
      </c>
    </row>
    <row r="1037" spans="3:7" hidden="1" outlineLevel="2">
      <c r="C1037" s="73" t="str">
        <v>SpareOfferD26</v>
      </c>
      <c r="D1037" s="97" t="s">
        <v>189</v>
      </c>
      <c r="F1037" s="168">
        <f t="shared" si="197"/>
        <v>0</v>
      </c>
      <c r="G1037" s="228">
        <v>0</v>
      </c>
    </row>
    <row r="1038" spans="3:7" hidden="1" outlineLevel="2">
      <c r="C1038" s="73" t="str">
        <v>SpareOfferD27</v>
      </c>
      <c r="D1038" s="97" t="s">
        <v>189</v>
      </c>
      <c r="F1038" s="168">
        <f t="shared" si="197"/>
        <v>0</v>
      </c>
      <c r="G1038" s="228">
        <v>0</v>
      </c>
    </row>
    <row r="1039" spans="3:7" hidden="1" outlineLevel="2">
      <c r="C1039" s="73" t="str">
        <v>SpareOfferD28</v>
      </c>
      <c r="D1039" s="97" t="s">
        <v>189</v>
      </c>
      <c r="F1039" s="168">
        <f t="shared" si="197"/>
        <v>0</v>
      </c>
      <c r="G1039" s="228">
        <v>0</v>
      </c>
    </row>
    <row r="1040" spans="3:7" hidden="1" outlineLevel="2">
      <c r="C1040" s="73" t="str">
        <v>SpareOfferD29</v>
      </c>
      <c r="D1040" s="97" t="s">
        <v>189</v>
      </c>
      <c r="F1040" s="168">
        <f t="shared" si="197"/>
        <v>0</v>
      </c>
      <c r="G1040" s="228">
        <v>0</v>
      </c>
    </row>
    <row r="1041" spans="3:21" hidden="1" outlineLevel="2">
      <c r="C1041" s="73" t="str">
        <v>SpareOfferD30</v>
      </c>
      <c r="D1041" s="97" t="s">
        <v>189</v>
      </c>
      <c r="F1041" s="168">
        <f t="shared" si="197"/>
        <v>0</v>
      </c>
      <c r="G1041" s="228">
        <v>0</v>
      </c>
    </row>
    <row r="1042" spans="3:21" hidden="1" outlineLevel="2">
      <c r="C1042" s="73" t="str">
        <v>SpareOfferD31</v>
      </c>
      <c r="D1042" s="97" t="s">
        <v>189</v>
      </c>
      <c r="F1042" s="168">
        <f t="shared" si="197"/>
        <v>0</v>
      </c>
      <c r="G1042" s="228">
        <v>0</v>
      </c>
    </row>
    <row r="1043" spans="3:21" hidden="1" outlineLevel="2">
      <c r="C1043" s="73" t="str">
        <v>SpareOfferD32</v>
      </c>
      <c r="D1043" s="97" t="s">
        <v>189</v>
      </c>
      <c r="F1043" s="168">
        <f t="shared" si="197"/>
        <v>0</v>
      </c>
      <c r="G1043" s="228">
        <v>0</v>
      </c>
    </row>
    <row r="1044" spans="3:21" hidden="1" outlineLevel="2">
      <c r="C1044" s="73" t="str">
        <v>SpareOfferD33</v>
      </c>
      <c r="D1044" s="97" t="s">
        <v>189</v>
      </c>
      <c r="F1044" s="168">
        <f t="shared" si="197"/>
        <v>0</v>
      </c>
      <c r="G1044" s="228">
        <v>0</v>
      </c>
    </row>
    <row r="1045" spans="3:21" hidden="1" outlineLevel="2">
      <c r="C1045" s="73" t="str">
        <v>SpareOfferD34</v>
      </c>
      <c r="D1045" s="97" t="s">
        <v>189</v>
      </c>
      <c r="F1045" s="168">
        <f t="shared" si="197"/>
        <v>0</v>
      </c>
      <c r="G1045" s="228">
        <v>0</v>
      </c>
    </row>
    <row r="1046" spans="3:21" outlineLevel="1" collapsed="1">
      <c r="C1046" s="73" t="str">
        <v>-</v>
      </c>
      <c r="D1046" s="97" t="s">
        <v>189</v>
      </c>
      <c r="F1046" s="168">
        <f t="shared" si="197"/>
        <v>0</v>
      </c>
      <c r="G1046" s="228">
        <v>0</v>
      </c>
    </row>
    <row r="1047" spans="3:21" outlineLevel="1">
      <c r="F1047" s="4"/>
    </row>
    <row r="1048" spans="3:21" outlineLevel="1">
      <c r="C1048" s="35" t="s">
        <v>513</v>
      </c>
      <c r="F1048" s="1" t="s">
        <v>317</v>
      </c>
      <c r="G1048" s="165" t="s">
        <v>162</v>
      </c>
      <c r="H1048" s="165"/>
      <c r="I1048" s="165"/>
      <c r="J1048" s="165"/>
      <c r="K1048" s="165"/>
      <c r="L1048" s="165"/>
      <c r="M1048" s="165"/>
      <c r="O1048" s="165" t="s">
        <v>164</v>
      </c>
      <c r="P1048" s="165"/>
      <c r="Q1048" s="165"/>
      <c r="R1048" s="66"/>
      <c r="S1048" s="66"/>
      <c r="T1048" s="66"/>
      <c r="U1048" s="66"/>
    </row>
    <row r="1049" spans="3:21" ht="25.5" customHeight="1" outlineLevel="1">
      <c r="F1049" s="155"/>
      <c r="G1049" s="165" t="str">
        <f t="array" ref="G1049:M1049">TRANSPOSE(voice.destination.plus.in)</f>
        <v>On-net</v>
      </c>
      <c r="H1049" s="165" t="str">
        <v>Off-net fixed</v>
      </c>
      <c r="I1049" s="165" t="str">
        <v>Off-net mobile</v>
      </c>
      <c r="J1049" s="66" t="str">
        <v>International</v>
      </c>
      <c r="K1049" s="66" t="str">
        <v>VAS</v>
      </c>
      <c r="L1049" s="66" t="str">
        <v>Not used</v>
      </c>
      <c r="M1049" s="165" t="str">
        <v>Termination</v>
      </c>
      <c r="O1049" s="165" t="str">
        <f t="array" ref="O1049:U1049">TRANSPOSE(SMS.destination.plus.in)</f>
        <v>On-net</v>
      </c>
      <c r="P1049" s="165" t="str">
        <v>Off-net fixed</v>
      </c>
      <c r="Q1049" s="165" t="str">
        <v>Off-net mobile</v>
      </c>
      <c r="R1049" s="66" t="str">
        <v>International</v>
      </c>
      <c r="S1049" s="66" t="str">
        <v>Content messages: BankID</v>
      </c>
      <c r="T1049" s="66" t="str">
        <v>Content messages: other</v>
      </c>
      <c r="U1049" s="165" t="str">
        <v>Termination</v>
      </c>
    </row>
    <row r="1050" spans="3:21" outlineLevel="1">
      <c r="C1050" s="91" t="s">
        <v>89</v>
      </c>
      <c r="D1050" s="97" t="s">
        <v>189</v>
      </c>
      <c r="F1050" s="114">
        <f>SUMPRODUCT(F1051:F1085,subscription.split.segment.4)</f>
        <v>0</v>
      </c>
      <c r="G1050" s="114">
        <f t="shared" ref="G1050:M1050" si="198">SUMPRODUCT(G1051:G1085,subscription.split.segment.4)</f>
        <v>0</v>
      </c>
      <c r="H1050" s="114">
        <f t="shared" si="198"/>
        <v>0</v>
      </c>
      <c r="I1050" s="114">
        <f t="shared" si="198"/>
        <v>0</v>
      </c>
      <c r="J1050" s="114">
        <f t="shared" si="198"/>
        <v>0</v>
      </c>
      <c r="K1050" s="114">
        <f t="shared" si="198"/>
        <v>0</v>
      </c>
      <c r="L1050" s="114">
        <f t="shared" si="198"/>
        <v>0</v>
      </c>
      <c r="M1050" s="114">
        <f t="shared" si="198"/>
        <v>0</v>
      </c>
      <c r="O1050" s="114">
        <f t="shared" ref="O1050:U1050" si="199">SUMPRODUCT(O1051:O1085,subscription.split.segment.4)</f>
        <v>0</v>
      </c>
      <c r="P1050" s="114">
        <f t="shared" si="199"/>
        <v>0</v>
      </c>
      <c r="Q1050" s="114">
        <f t="shared" si="199"/>
        <v>0</v>
      </c>
      <c r="R1050" s="114">
        <f t="shared" si="199"/>
        <v>0</v>
      </c>
      <c r="S1050" s="114">
        <f t="shared" si="199"/>
        <v>0</v>
      </c>
      <c r="T1050" s="114">
        <f t="shared" si="199"/>
        <v>0</v>
      </c>
      <c r="U1050" s="114">
        <f t="shared" si="199"/>
        <v>0</v>
      </c>
    </row>
    <row r="1051" spans="3:21" outlineLevel="1">
      <c r="C1051" s="73" t="str">
        <f t="array" ref="C1051:C1085">offers.segment.4</f>
        <v>SpareOfferD1</v>
      </c>
      <c r="D1051" s="97" t="s">
        <v>189</v>
      </c>
      <c r="F1051" s="148">
        <f>SUM(G1051:M1051)+SUM(O1051:U1051)</f>
        <v>0</v>
      </c>
      <c r="G1051" s="102">
        <f>(G$26+$M$26)*G895</f>
        <v>0</v>
      </c>
      <c r="H1051" s="167">
        <f t="shared" ref="H1051:M1051" si="200">H$26*H895</f>
        <v>0</v>
      </c>
      <c r="I1051" s="167">
        <f t="shared" si="200"/>
        <v>0</v>
      </c>
      <c r="J1051" s="167">
        <f t="shared" si="200"/>
        <v>0</v>
      </c>
      <c r="K1051" s="167">
        <f t="shared" si="200"/>
        <v>0</v>
      </c>
      <c r="L1051" s="167">
        <f t="shared" si="200"/>
        <v>0</v>
      </c>
      <c r="M1051" s="167">
        <f t="shared" si="200"/>
        <v>0</v>
      </c>
      <c r="O1051" s="102">
        <f>(O$26+$U$26)*O895</f>
        <v>0</v>
      </c>
      <c r="P1051" s="167">
        <f t="shared" ref="P1051:U1051" si="201">P$26*P895</f>
        <v>0</v>
      </c>
      <c r="Q1051" s="167">
        <f t="shared" si="201"/>
        <v>0</v>
      </c>
      <c r="R1051" s="167">
        <f t="shared" si="201"/>
        <v>0</v>
      </c>
      <c r="S1051" s="167">
        <f t="shared" si="201"/>
        <v>0</v>
      </c>
      <c r="T1051" s="167">
        <f t="shared" si="201"/>
        <v>0</v>
      </c>
      <c r="U1051" s="167">
        <f t="shared" si="201"/>
        <v>0</v>
      </c>
    </row>
    <row r="1052" spans="3:21" hidden="1" outlineLevel="2">
      <c r="C1052" s="73" t="str">
        <v>SpareOfferD2</v>
      </c>
      <c r="D1052" s="97" t="s">
        <v>189</v>
      </c>
      <c r="F1052" s="148">
        <f t="shared" ref="F1052:F1085" si="202">SUM(G1052:M1052)+SUM(O1052:U1052)</f>
        <v>0</v>
      </c>
      <c r="G1052" s="102">
        <f t="shared" ref="G1052:G1085" si="203">(G$26+$M$26)*G896</f>
        <v>0</v>
      </c>
      <c r="H1052" s="167">
        <f t="shared" ref="H1052:M1052" si="204">H$26*H896</f>
        <v>0</v>
      </c>
      <c r="I1052" s="167">
        <f t="shared" si="204"/>
        <v>0</v>
      </c>
      <c r="J1052" s="167">
        <f t="shared" si="204"/>
        <v>0</v>
      </c>
      <c r="K1052" s="167">
        <f t="shared" si="204"/>
        <v>0</v>
      </c>
      <c r="L1052" s="167">
        <f t="shared" si="204"/>
        <v>0</v>
      </c>
      <c r="M1052" s="167">
        <f t="shared" si="204"/>
        <v>0</v>
      </c>
      <c r="O1052" s="102">
        <f t="shared" ref="O1052:O1085" si="205">(O$26+$U$26)*O896</f>
        <v>0</v>
      </c>
      <c r="P1052" s="167">
        <f t="shared" ref="P1052:U1052" si="206">P$26*P896</f>
        <v>0</v>
      </c>
      <c r="Q1052" s="167">
        <f t="shared" si="206"/>
        <v>0</v>
      </c>
      <c r="R1052" s="167">
        <f t="shared" si="206"/>
        <v>0</v>
      </c>
      <c r="S1052" s="167">
        <f t="shared" si="206"/>
        <v>0</v>
      </c>
      <c r="T1052" s="167">
        <f t="shared" si="206"/>
        <v>0</v>
      </c>
      <c r="U1052" s="167">
        <f t="shared" si="206"/>
        <v>0</v>
      </c>
    </row>
    <row r="1053" spans="3:21" hidden="1" outlineLevel="2">
      <c r="C1053" s="73" t="str">
        <v>SpareOfferD3</v>
      </c>
      <c r="D1053" s="97" t="s">
        <v>189</v>
      </c>
      <c r="F1053" s="148">
        <f t="shared" si="202"/>
        <v>0</v>
      </c>
      <c r="G1053" s="102">
        <f t="shared" si="203"/>
        <v>0</v>
      </c>
      <c r="H1053" s="167">
        <f t="shared" ref="H1053:M1053" si="207">H$26*H897</f>
        <v>0</v>
      </c>
      <c r="I1053" s="167">
        <f t="shared" si="207"/>
        <v>0</v>
      </c>
      <c r="J1053" s="167">
        <f t="shared" si="207"/>
        <v>0</v>
      </c>
      <c r="K1053" s="167">
        <f t="shared" si="207"/>
        <v>0</v>
      </c>
      <c r="L1053" s="167">
        <f t="shared" si="207"/>
        <v>0</v>
      </c>
      <c r="M1053" s="167">
        <f t="shared" si="207"/>
        <v>0</v>
      </c>
      <c r="O1053" s="102">
        <f t="shared" si="205"/>
        <v>0</v>
      </c>
      <c r="P1053" s="167">
        <f t="shared" ref="P1053:U1053" si="208">P$26*P897</f>
        <v>0</v>
      </c>
      <c r="Q1053" s="167">
        <f t="shared" si="208"/>
        <v>0</v>
      </c>
      <c r="R1053" s="167">
        <f t="shared" si="208"/>
        <v>0</v>
      </c>
      <c r="S1053" s="167">
        <f t="shared" si="208"/>
        <v>0</v>
      </c>
      <c r="T1053" s="167">
        <f t="shared" si="208"/>
        <v>0</v>
      </c>
      <c r="U1053" s="167">
        <f t="shared" si="208"/>
        <v>0</v>
      </c>
    </row>
    <row r="1054" spans="3:21" hidden="1" outlineLevel="2">
      <c r="C1054" s="73" t="str">
        <v>SpareOfferD4</v>
      </c>
      <c r="D1054" s="97" t="s">
        <v>189</v>
      </c>
      <c r="F1054" s="148">
        <f t="shared" si="202"/>
        <v>0</v>
      </c>
      <c r="G1054" s="102">
        <f t="shared" si="203"/>
        <v>0</v>
      </c>
      <c r="H1054" s="167">
        <f t="shared" ref="H1054:M1054" si="209">H$26*H898</f>
        <v>0</v>
      </c>
      <c r="I1054" s="167">
        <f t="shared" si="209"/>
        <v>0</v>
      </c>
      <c r="J1054" s="167">
        <f t="shared" si="209"/>
        <v>0</v>
      </c>
      <c r="K1054" s="167">
        <f t="shared" si="209"/>
        <v>0</v>
      </c>
      <c r="L1054" s="167">
        <f t="shared" si="209"/>
        <v>0</v>
      </c>
      <c r="M1054" s="167">
        <f t="shared" si="209"/>
        <v>0</v>
      </c>
      <c r="O1054" s="102">
        <f t="shared" si="205"/>
        <v>0</v>
      </c>
      <c r="P1054" s="167">
        <f t="shared" ref="P1054:U1054" si="210">P$26*P898</f>
        <v>0</v>
      </c>
      <c r="Q1054" s="167">
        <f t="shared" si="210"/>
        <v>0</v>
      </c>
      <c r="R1054" s="167">
        <f t="shared" si="210"/>
        <v>0</v>
      </c>
      <c r="S1054" s="167">
        <f t="shared" si="210"/>
        <v>0</v>
      </c>
      <c r="T1054" s="167">
        <f t="shared" si="210"/>
        <v>0</v>
      </c>
      <c r="U1054" s="167">
        <f t="shared" si="210"/>
        <v>0</v>
      </c>
    </row>
    <row r="1055" spans="3:21" hidden="1" outlineLevel="2">
      <c r="C1055" s="73" t="str">
        <v>SpareOfferD5</v>
      </c>
      <c r="D1055" s="97" t="s">
        <v>189</v>
      </c>
      <c r="F1055" s="148">
        <f t="shared" si="202"/>
        <v>0</v>
      </c>
      <c r="G1055" s="102">
        <f t="shared" si="203"/>
        <v>0</v>
      </c>
      <c r="H1055" s="167">
        <f t="shared" ref="H1055:M1055" si="211">H$26*H899</f>
        <v>0</v>
      </c>
      <c r="I1055" s="167">
        <f t="shared" si="211"/>
        <v>0</v>
      </c>
      <c r="J1055" s="167">
        <f t="shared" si="211"/>
        <v>0</v>
      </c>
      <c r="K1055" s="167">
        <f t="shared" si="211"/>
        <v>0</v>
      </c>
      <c r="L1055" s="167">
        <f t="shared" si="211"/>
        <v>0</v>
      </c>
      <c r="M1055" s="167">
        <f t="shared" si="211"/>
        <v>0</v>
      </c>
      <c r="O1055" s="102">
        <f t="shared" si="205"/>
        <v>0</v>
      </c>
      <c r="P1055" s="167">
        <f t="shared" ref="P1055:U1055" si="212">P$26*P899</f>
        <v>0</v>
      </c>
      <c r="Q1055" s="167">
        <f t="shared" si="212"/>
        <v>0</v>
      </c>
      <c r="R1055" s="167">
        <f t="shared" si="212"/>
        <v>0</v>
      </c>
      <c r="S1055" s="167">
        <f t="shared" si="212"/>
        <v>0</v>
      </c>
      <c r="T1055" s="167">
        <f t="shared" si="212"/>
        <v>0</v>
      </c>
      <c r="U1055" s="167">
        <f t="shared" si="212"/>
        <v>0</v>
      </c>
    </row>
    <row r="1056" spans="3:21" hidden="1" outlineLevel="2">
      <c r="C1056" s="73" t="str">
        <v>SpareOfferD6</v>
      </c>
      <c r="D1056" s="97" t="s">
        <v>189</v>
      </c>
      <c r="F1056" s="148">
        <f t="shared" si="202"/>
        <v>0</v>
      </c>
      <c r="G1056" s="102">
        <f t="shared" si="203"/>
        <v>0</v>
      </c>
      <c r="H1056" s="167">
        <f t="shared" ref="H1056:M1056" si="213">H$26*H900</f>
        <v>0</v>
      </c>
      <c r="I1056" s="167">
        <f t="shared" si="213"/>
        <v>0</v>
      </c>
      <c r="J1056" s="167">
        <f t="shared" si="213"/>
        <v>0</v>
      </c>
      <c r="K1056" s="167">
        <f t="shared" si="213"/>
        <v>0</v>
      </c>
      <c r="L1056" s="167">
        <f t="shared" si="213"/>
        <v>0</v>
      </c>
      <c r="M1056" s="167">
        <f t="shared" si="213"/>
        <v>0</v>
      </c>
      <c r="O1056" s="102">
        <f t="shared" si="205"/>
        <v>0</v>
      </c>
      <c r="P1056" s="167">
        <f t="shared" ref="P1056:U1056" si="214">P$26*P900</f>
        <v>0</v>
      </c>
      <c r="Q1056" s="167">
        <f t="shared" si="214"/>
        <v>0</v>
      </c>
      <c r="R1056" s="167">
        <f t="shared" si="214"/>
        <v>0</v>
      </c>
      <c r="S1056" s="167">
        <f t="shared" si="214"/>
        <v>0</v>
      </c>
      <c r="T1056" s="167">
        <f t="shared" si="214"/>
        <v>0</v>
      </c>
      <c r="U1056" s="167">
        <f t="shared" si="214"/>
        <v>0</v>
      </c>
    </row>
    <row r="1057" spans="3:21" hidden="1" outlineLevel="2">
      <c r="C1057" s="73" t="str">
        <v>SpareOfferD7</v>
      </c>
      <c r="D1057" s="97" t="s">
        <v>189</v>
      </c>
      <c r="F1057" s="148">
        <f t="shared" si="202"/>
        <v>0</v>
      </c>
      <c r="G1057" s="102">
        <f t="shared" si="203"/>
        <v>0</v>
      </c>
      <c r="H1057" s="167">
        <f t="shared" ref="H1057:M1057" si="215">H$26*H901</f>
        <v>0</v>
      </c>
      <c r="I1057" s="167">
        <f t="shared" si="215"/>
        <v>0</v>
      </c>
      <c r="J1057" s="167">
        <f t="shared" si="215"/>
        <v>0</v>
      </c>
      <c r="K1057" s="167">
        <f t="shared" si="215"/>
        <v>0</v>
      </c>
      <c r="L1057" s="167">
        <f t="shared" si="215"/>
        <v>0</v>
      </c>
      <c r="M1057" s="167">
        <f t="shared" si="215"/>
        <v>0</v>
      </c>
      <c r="O1057" s="102">
        <f t="shared" si="205"/>
        <v>0</v>
      </c>
      <c r="P1057" s="167">
        <f t="shared" ref="P1057:U1057" si="216">P$26*P901</f>
        <v>0</v>
      </c>
      <c r="Q1057" s="167">
        <f t="shared" si="216"/>
        <v>0</v>
      </c>
      <c r="R1057" s="167">
        <f t="shared" si="216"/>
        <v>0</v>
      </c>
      <c r="S1057" s="167">
        <f t="shared" si="216"/>
        <v>0</v>
      </c>
      <c r="T1057" s="167">
        <f t="shared" si="216"/>
        <v>0</v>
      </c>
      <c r="U1057" s="167">
        <f t="shared" si="216"/>
        <v>0</v>
      </c>
    </row>
    <row r="1058" spans="3:21" hidden="1" outlineLevel="2">
      <c r="C1058" s="73" t="str">
        <v>SpareOfferD8</v>
      </c>
      <c r="D1058" s="97" t="s">
        <v>189</v>
      </c>
      <c r="F1058" s="148">
        <f t="shared" si="202"/>
        <v>0</v>
      </c>
      <c r="G1058" s="102">
        <f t="shared" si="203"/>
        <v>0</v>
      </c>
      <c r="H1058" s="167">
        <f t="shared" ref="H1058:M1058" si="217">H$26*H902</f>
        <v>0</v>
      </c>
      <c r="I1058" s="167">
        <f t="shared" si="217"/>
        <v>0</v>
      </c>
      <c r="J1058" s="167">
        <f t="shared" si="217"/>
        <v>0</v>
      </c>
      <c r="K1058" s="167">
        <f t="shared" si="217"/>
        <v>0</v>
      </c>
      <c r="L1058" s="167">
        <f t="shared" si="217"/>
        <v>0</v>
      </c>
      <c r="M1058" s="167">
        <f t="shared" si="217"/>
        <v>0</v>
      </c>
      <c r="O1058" s="102">
        <f t="shared" si="205"/>
        <v>0</v>
      </c>
      <c r="P1058" s="167">
        <f t="shared" ref="P1058:U1058" si="218">P$26*P902</f>
        <v>0</v>
      </c>
      <c r="Q1058" s="167">
        <f t="shared" si="218"/>
        <v>0</v>
      </c>
      <c r="R1058" s="167">
        <f t="shared" si="218"/>
        <v>0</v>
      </c>
      <c r="S1058" s="167">
        <f t="shared" si="218"/>
        <v>0</v>
      </c>
      <c r="T1058" s="167">
        <f t="shared" si="218"/>
        <v>0</v>
      </c>
      <c r="U1058" s="167">
        <f t="shared" si="218"/>
        <v>0</v>
      </c>
    </row>
    <row r="1059" spans="3:21" hidden="1" outlineLevel="2">
      <c r="C1059" s="73" t="str">
        <v>SpareOfferD9</v>
      </c>
      <c r="D1059" s="97" t="s">
        <v>189</v>
      </c>
      <c r="F1059" s="148">
        <f t="shared" si="202"/>
        <v>0</v>
      </c>
      <c r="G1059" s="102">
        <f t="shared" si="203"/>
        <v>0</v>
      </c>
      <c r="H1059" s="167">
        <f t="shared" ref="H1059:M1059" si="219">H$26*H903</f>
        <v>0</v>
      </c>
      <c r="I1059" s="167">
        <f t="shared" si="219"/>
        <v>0</v>
      </c>
      <c r="J1059" s="167">
        <f t="shared" si="219"/>
        <v>0</v>
      </c>
      <c r="K1059" s="167">
        <f t="shared" si="219"/>
        <v>0</v>
      </c>
      <c r="L1059" s="167">
        <f t="shared" si="219"/>
        <v>0</v>
      </c>
      <c r="M1059" s="167">
        <f t="shared" si="219"/>
        <v>0</v>
      </c>
      <c r="O1059" s="102">
        <f t="shared" si="205"/>
        <v>0</v>
      </c>
      <c r="P1059" s="167">
        <f t="shared" ref="P1059:U1059" si="220">P$26*P903</f>
        <v>0</v>
      </c>
      <c r="Q1059" s="167">
        <f t="shared" si="220"/>
        <v>0</v>
      </c>
      <c r="R1059" s="167">
        <f t="shared" si="220"/>
        <v>0</v>
      </c>
      <c r="S1059" s="167">
        <f t="shared" si="220"/>
        <v>0</v>
      </c>
      <c r="T1059" s="167">
        <f t="shared" si="220"/>
        <v>0</v>
      </c>
      <c r="U1059" s="167">
        <f t="shared" si="220"/>
        <v>0</v>
      </c>
    </row>
    <row r="1060" spans="3:21" hidden="1" outlineLevel="2">
      <c r="C1060" s="73" t="str">
        <v>SpareOfferD10</v>
      </c>
      <c r="D1060" s="97" t="s">
        <v>189</v>
      </c>
      <c r="F1060" s="148">
        <f t="shared" si="202"/>
        <v>0</v>
      </c>
      <c r="G1060" s="102">
        <f t="shared" si="203"/>
        <v>0</v>
      </c>
      <c r="H1060" s="167">
        <f t="shared" ref="H1060:M1060" si="221">H$26*H904</f>
        <v>0</v>
      </c>
      <c r="I1060" s="167">
        <f t="shared" si="221"/>
        <v>0</v>
      </c>
      <c r="J1060" s="167">
        <f t="shared" si="221"/>
        <v>0</v>
      </c>
      <c r="K1060" s="167">
        <f t="shared" si="221"/>
        <v>0</v>
      </c>
      <c r="L1060" s="167">
        <f t="shared" si="221"/>
        <v>0</v>
      </c>
      <c r="M1060" s="167">
        <f t="shared" si="221"/>
        <v>0</v>
      </c>
      <c r="O1060" s="102">
        <f t="shared" si="205"/>
        <v>0</v>
      </c>
      <c r="P1060" s="167">
        <f t="shared" ref="P1060:U1060" si="222">P$26*P904</f>
        <v>0</v>
      </c>
      <c r="Q1060" s="167">
        <f t="shared" si="222"/>
        <v>0</v>
      </c>
      <c r="R1060" s="167">
        <f t="shared" si="222"/>
        <v>0</v>
      </c>
      <c r="S1060" s="167">
        <f t="shared" si="222"/>
        <v>0</v>
      </c>
      <c r="T1060" s="167">
        <f t="shared" si="222"/>
        <v>0</v>
      </c>
      <c r="U1060" s="167">
        <f t="shared" si="222"/>
        <v>0</v>
      </c>
    </row>
    <row r="1061" spans="3:21" hidden="1" outlineLevel="2">
      <c r="C1061" s="73" t="str">
        <v>SpareOfferD11</v>
      </c>
      <c r="D1061" s="97" t="s">
        <v>189</v>
      </c>
      <c r="F1061" s="148">
        <f t="shared" si="202"/>
        <v>0</v>
      </c>
      <c r="G1061" s="102">
        <f t="shared" si="203"/>
        <v>0</v>
      </c>
      <c r="H1061" s="167">
        <f t="shared" ref="H1061:M1061" si="223">H$26*H905</f>
        <v>0</v>
      </c>
      <c r="I1061" s="167">
        <f t="shared" si="223"/>
        <v>0</v>
      </c>
      <c r="J1061" s="167">
        <f t="shared" si="223"/>
        <v>0</v>
      </c>
      <c r="K1061" s="167">
        <f t="shared" si="223"/>
        <v>0</v>
      </c>
      <c r="L1061" s="167">
        <f t="shared" si="223"/>
        <v>0</v>
      </c>
      <c r="M1061" s="167">
        <f t="shared" si="223"/>
        <v>0</v>
      </c>
      <c r="O1061" s="102">
        <f t="shared" si="205"/>
        <v>0</v>
      </c>
      <c r="P1061" s="167">
        <f t="shared" ref="P1061:U1061" si="224">P$26*P905</f>
        <v>0</v>
      </c>
      <c r="Q1061" s="167">
        <f t="shared" si="224"/>
        <v>0</v>
      </c>
      <c r="R1061" s="167">
        <f t="shared" si="224"/>
        <v>0</v>
      </c>
      <c r="S1061" s="167">
        <f t="shared" si="224"/>
        <v>0</v>
      </c>
      <c r="T1061" s="167">
        <f t="shared" si="224"/>
        <v>0</v>
      </c>
      <c r="U1061" s="167">
        <f t="shared" si="224"/>
        <v>0</v>
      </c>
    </row>
    <row r="1062" spans="3:21" hidden="1" outlineLevel="2">
      <c r="C1062" s="73" t="str">
        <v>SpareOfferD12</v>
      </c>
      <c r="D1062" s="97" t="s">
        <v>189</v>
      </c>
      <c r="F1062" s="148">
        <f t="shared" si="202"/>
        <v>0</v>
      </c>
      <c r="G1062" s="102">
        <f t="shared" si="203"/>
        <v>0</v>
      </c>
      <c r="H1062" s="167">
        <f t="shared" ref="H1062:M1062" si="225">H$26*H906</f>
        <v>0</v>
      </c>
      <c r="I1062" s="167">
        <f t="shared" si="225"/>
        <v>0</v>
      </c>
      <c r="J1062" s="167">
        <f t="shared" si="225"/>
        <v>0</v>
      </c>
      <c r="K1062" s="167">
        <f t="shared" si="225"/>
        <v>0</v>
      </c>
      <c r="L1062" s="167">
        <f t="shared" si="225"/>
        <v>0</v>
      </c>
      <c r="M1062" s="167">
        <f t="shared" si="225"/>
        <v>0</v>
      </c>
      <c r="O1062" s="102">
        <f t="shared" si="205"/>
        <v>0</v>
      </c>
      <c r="P1062" s="167">
        <f t="shared" ref="P1062:U1062" si="226">P$26*P906</f>
        <v>0</v>
      </c>
      <c r="Q1062" s="167">
        <f t="shared" si="226"/>
        <v>0</v>
      </c>
      <c r="R1062" s="167">
        <f t="shared" si="226"/>
        <v>0</v>
      </c>
      <c r="S1062" s="167">
        <f t="shared" si="226"/>
        <v>0</v>
      </c>
      <c r="T1062" s="167">
        <f t="shared" si="226"/>
        <v>0</v>
      </c>
      <c r="U1062" s="167">
        <f t="shared" si="226"/>
        <v>0</v>
      </c>
    </row>
    <row r="1063" spans="3:21" hidden="1" outlineLevel="2">
      <c r="C1063" s="73" t="str">
        <v>SpareOfferD13</v>
      </c>
      <c r="D1063" s="97" t="s">
        <v>189</v>
      </c>
      <c r="F1063" s="148">
        <f t="shared" si="202"/>
        <v>0</v>
      </c>
      <c r="G1063" s="102">
        <f t="shared" si="203"/>
        <v>0</v>
      </c>
      <c r="H1063" s="167">
        <f t="shared" ref="H1063:M1063" si="227">H$26*H907</f>
        <v>0</v>
      </c>
      <c r="I1063" s="167">
        <f t="shared" si="227"/>
        <v>0</v>
      </c>
      <c r="J1063" s="167">
        <f t="shared" si="227"/>
        <v>0</v>
      </c>
      <c r="K1063" s="167">
        <f t="shared" si="227"/>
        <v>0</v>
      </c>
      <c r="L1063" s="167">
        <f t="shared" si="227"/>
        <v>0</v>
      </c>
      <c r="M1063" s="167">
        <f t="shared" si="227"/>
        <v>0</v>
      </c>
      <c r="O1063" s="102">
        <f t="shared" si="205"/>
        <v>0</v>
      </c>
      <c r="P1063" s="167">
        <f t="shared" ref="P1063:U1063" si="228">P$26*P907</f>
        <v>0</v>
      </c>
      <c r="Q1063" s="167">
        <f t="shared" si="228"/>
        <v>0</v>
      </c>
      <c r="R1063" s="167">
        <f t="shared" si="228"/>
        <v>0</v>
      </c>
      <c r="S1063" s="167">
        <f t="shared" si="228"/>
        <v>0</v>
      </c>
      <c r="T1063" s="167">
        <f t="shared" si="228"/>
        <v>0</v>
      </c>
      <c r="U1063" s="167">
        <f t="shared" si="228"/>
        <v>0</v>
      </c>
    </row>
    <row r="1064" spans="3:21" hidden="1" outlineLevel="2">
      <c r="C1064" s="73" t="str">
        <v>SpareOfferD14</v>
      </c>
      <c r="D1064" s="97" t="s">
        <v>189</v>
      </c>
      <c r="F1064" s="148">
        <f t="shared" si="202"/>
        <v>0</v>
      </c>
      <c r="G1064" s="102">
        <f t="shared" si="203"/>
        <v>0</v>
      </c>
      <c r="H1064" s="167">
        <f t="shared" ref="H1064:M1064" si="229">H$26*H908</f>
        <v>0</v>
      </c>
      <c r="I1064" s="167">
        <f t="shared" si="229"/>
        <v>0</v>
      </c>
      <c r="J1064" s="167">
        <f t="shared" si="229"/>
        <v>0</v>
      </c>
      <c r="K1064" s="167">
        <f t="shared" si="229"/>
        <v>0</v>
      </c>
      <c r="L1064" s="167">
        <f t="shared" si="229"/>
        <v>0</v>
      </c>
      <c r="M1064" s="167">
        <f t="shared" si="229"/>
        <v>0</v>
      </c>
      <c r="O1064" s="102">
        <f t="shared" si="205"/>
        <v>0</v>
      </c>
      <c r="P1064" s="167">
        <f t="shared" ref="P1064:U1064" si="230">P$26*P908</f>
        <v>0</v>
      </c>
      <c r="Q1064" s="167">
        <f t="shared" si="230"/>
        <v>0</v>
      </c>
      <c r="R1064" s="167">
        <f t="shared" si="230"/>
        <v>0</v>
      </c>
      <c r="S1064" s="167">
        <f t="shared" si="230"/>
        <v>0</v>
      </c>
      <c r="T1064" s="167">
        <f t="shared" si="230"/>
        <v>0</v>
      </c>
      <c r="U1064" s="167">
        <f t="shared" si="230"/>
        <v>0</v>
      </c>
    </row>
    <row r="1065" spans="3:21" hidden="1" outlineLevel="2">
      <c r="C1065" s="73" t="str">
        <v>SpareOfferD15</v>
      </c>
      <c r="D1065" s="97" t="s">
        <v>189</v>
      </c>
      <c r="F1065" s="148">
        <f t="shared" si="202"/>
        <v>0</v>
      </c>
      <c r="G1065" s="102">
        <f t="shared" si="203"/>
        <v>0</v>
      </c>
      <c r="H1065" s="167">
        <f t="shared" ref="H1065:M1065" si="231">H$26*H909</f>
        <v>0</v>
      </c>
      <c r="I1065" s="167">
        <f t="shared" si="231"/>
        <v>0</v>
      </c>
      <c r="J1065" s="167">
        <f t="shared" si="231"/>
        <v>0</v>
      </c>
      <c r="K1065" s="167">
        <f t="shared" si="231"/>
        <v>0</v>
      </c>
      <c r="L1065" s="167">
        <f t="shared" si="231"/>
        <v>0</v>
      </c>
      <c r="M1065" s="167">
        <f t="shared" si="231"/>
        <v>0</v>
      </c>
      <c r="O1065" s="102">
        <f t="shared" si="205"/>
        <v>0</v>
      </c>
      <c r="P1065" s="167">
        <f t="shared" ref="P1065:U1065" si="232">P$26*P909</f>
        <v>0</v>
      </c>
      <c r="Q1065" s="167">
        <f t="shared" si="232"/>
        <v>0</v>
      </c>
      <c r="R1065" s="167">
        <f t="shared" si="232"/>
        <v>0</v>
      </c>
      <c r="S1065" s="167">
        <f t="shared" si="232"/>
        <v>0</v>
      </c>
      <c r="T1065" s="167">
        <f t="shared" si="232"/>
        <v>0</v>
      </c>
      <c r="U1065" s="167">
        <f t="shared" si="232"/>
        <v>0</v>
      </c>
    </row>
    <row r="1066" spans="3:21" hidden="1" outlineLevel="2">
      <c r="C1066" s="73" t="str">
        <v>SpareOfferD16</v>
      </c>
      <c r="D1066" s="97" t="s">
        <v>189</v>
      </c>
      <c r="F1066" s="148">
        <f t="shared" si="202"/>
        <v>0</v>
      </c>
      <c r="G1066" s="102">
        <f t="shared" si="203"/>
        <v>0</v>
      </c>
      <c r="H1066" s="167">
        <f t="shared" ref="H1066:M1066" si="233">H$26*H910</f>
        <v>0</v>
      </c>
      <c r="I1066" s="167">
        <f t="shared" si="233"/>
        <v>0</v>
      </c>
      <c r="J1066" s="167">
        <f t="shared" si="233"/>
        <v>0</v>
      </c>
      <c r="K1066" s="167">
        <f t="shared" si="233"/>
        <v>0</v>
      </c>
      <c r="L1066" s="167">
        <f t="shared" si="233"/>
        <v>0</v>
      </c>
      <c r="M1066" s="167">
        <f t="shared" si="233"/>
        <v>0</v>
      </c>
      <c r="O1066" s="102">
        <f t="shared" si="205"/>
        <v>0</v>
      </c>
      <c r="P1066" s="167">
        <f t="shared" ref="P1066:U1066" si="234">P$26*P910</f>
        <v>0</v>
      </c>
      <c r="Q1066" s="167">
        <f t="shared" si="234"/>
        <v>0</v>
      </c>
      <c r="R1066" s="167">
        <f t="shared" si="234"/>
        <v>0</v>
      </c>
      <c r="S1066" s="167">
        <f t="shared" si="234"/>
        <v>0</v>
      </c>
      <c r="T1066" s="167">
        <f t="shared" si="234"/>
        <v>0</v>
      </c>
      <c r="U1066" s="167">
        <f t="shared" si="234"/>
        <v>0</v>
      </c>
    </row>
    <row r="1067" spans="3:21" hidden="1" outlineLevel="2">
      <c r="C1067" s="73" t="str">
        <v>SpareOfferD17</v>
      </c>
      <c r="D1067" s="97" t="s">
        <v>189</v>
      </c>
      <c r="F1067" s="148">
        <f t="shared" si="202"/>
        <v>0</v>
      </c>
      <c r="G1067" s="102">
        <f t="shared" si="203"/>
        <v>0</v>
      </c>
      <c r="H1067" s="167">
        <f t="shared" ref="H1067:M1067" si="235">H$26*H911</f>
        <v>0</v>
      </c>
      <c r="I1067" s="167">
        <f t="shared" si="235"/>
        <v>0</v>
      </c>
      <c r="J1067" s="167">
        <f t="shared" si="235"/>
        <v>0</v>
      </c>
      <c r="K1067" s="167">
        <f t="shared" si="235"/>
        <v>0</v>
      </c>
      <c r="L1067" s="167">
        <f t="shared" si="235"/>
        <v>0</v>
      </c>
      <c r="M1067" s="167">
        <f t="shared" si="235"/>
        <v>0</v>
      </c>
      <c r="O1067" s="102">
        <f t="shared" si="205"/>
        <v>0</v>
      </c>
      <c r="P1067" s="167">
        <f t="shared" ref="P1067:U1067" si="236">P$26*P911</f>
        <v>0</v>
      </c>
      <c r="Q1067" s="167">
        <f t="shared" si="236"/>
        <v>0</v>
      </c>
      <c r="R1067" s="167">
        <f t="shared" si="236"/>
        <v>0</v>
      </c>
      <c r="S1067" s="167">
        <f t="shared" si="236"/>
        <v>0</v>
      </c>
      <c r="T1067" s="167">
        <f t="shared" si="236"/>
        <v>0</v>
      </c>
      <c r="U1067" s="167">
        <f t="shared" si="236"/>
        <v>0</v>
      </c>
    </row>
    <row r="1068" spans="3:21" hidden="1" outlineLevel="2">
      <c r="C1068" s="73" t="str">
        <v>SpareOfferD18</v>
      </c>
      <c r="D1068" s="97" t="s">
        <v>189</v>
      </c>
      <c r="F1068" s="148">
        <f t="shared" si="202"/>
        <v>0</v>
      </c>
      <c r="G1068" s="102">
        <f t="shared" si="203"/>
        <v>0</v>
      </c>
      <c r="H1068" s="167">
        <f t="shared" ref="H1068:M1068" si="237">H$26*H912</f>
        <v>0</v>
      </c>
      <c r="I1068" s="167">
        <f t="shared" si="237"/>
        <v>0</v>
      </c>
      <c r="J1068" s="167">
        <f t="shared" si="237"/>
        <v>0</v>
      </c>
      <c r="K1068" s="167">
        <f t="shared" si="237"/>
        <v>0</v>
      </c>
      <c r="L1068" s="167">
        <f t="shared" si="237"/>
        <v>0</v>
      </c>
      <c r="M1068" s="167">
        <f t="shared" si="237"/>
        <v>0</v>
      </c>
      <c r="O1068" s="102">
        <f t="shared" si="205"/>
        <v>0</v>
      </c>
      <c r="P1068" s="167">
        <f t="shared" ref="P1068:U1068" si="238">P$26*P912</f>
        <v>0</v>
      </c>
      <c r="Q1068" s="167">
        <f t="shared" si="238"/>
        <v>0</v>
      </c>
      <c r="R1068" s="167">
        <f t="shared" si="238"/>
        <v>0</v>
      </c>
      <c r="S1068" s="167">
        <f t="shared" si="238"/>
        <v>0</v>
      </c>
      <c r="T1068" s="167">
        <f t="shared" si="238"/>
        <v>0</v>
      </c>
      <c r="U1068" s="167">
        <f t="shared" si="238"/>
        <v>0</v>
      </c>
    </row>
    <row r="1069" spans="3:21" hidden="1" outlineLevel="2">
      <c r="C1069" s="73" t="str">
        <v>SpareOfferD19</v>
      </c>
      <c r="D1069" s="97" t="s">
        <v>189</v>
      </c>
      <c r="F1069" s="148">
        <f t="shared" si="202"/>
        <v>0</v>
      </c>
      <c r="G1069" s="102">
        <f t="shared" si="203"/>
        <v>0</v>
      </c>
      <c r="H1069" s="167">
        <f t="shared" ref="H1069:M1069" si="239">H$26*H913</f>
        <v>0</v>
      </c>
      <c r="I1069" s="167">
        <f t="shared" si="239"/>
        <v>0</v>
      </c>
      <c r="J1069" s="167">
        <f t="shared" si="239"/>
        <v>0</v>
      </c>
      <c r="K1069" s="167">
        <f t="shared" si="239"/>
        <v>0</v>
      </c>
      <c r="L1069" s="167">
        <f t="shared" si="239"/>
        <v>0</v>
      </c>
      <c r="M1069" s="167">
        <f t="shared" si="239"/>
        <v>0</v>
      </c>
      <c r="O1069" s="102">
        <f t="shared" si="205"/>
        <v>0</v>
      </c>
      <c r="P1069" s="167">
        <f t="shared" ref="P1069:U1069" si="240">P$26*P913</f>
        <v>0</v>
      </c>
      <c r="Q1069" s="167">
        <f t="shared" si="240"/>
        <v>0</v>
      </c>
      <c r="R1069" s="167">
        <f t="shared" si="240"/>
        <v>0</v>
      </c>
      <c r="S1069" s="167">
        <f t="shared" si="240"/>
        <v>0</v>
      </c>
      <c r="T1069" s="167">
        <f t="shared" si="240"/>
        <v>0</v>
      </c>
      <c r="U1069" s="167">
        <f t="shared" si="240"/>
        <v>0</v>
      </c>
    </row>
    <row r="1070" spans="3:21" hidden="1" outlineLevel="2">
      <c r="C1070" s="73" t="str">
        <v>SpareOfferD20</v>
      </c>
      <c r="D1070" s="97" t="s">
        <v>189</v>
      </c>
      <c r="F1070" s="148">
        <f t="shared" si="202"/>
        <v>0</v>
      </c>
      <c r="G1070" s="102">
        <f t="shared" si="203"/>
        <v>0</v>
      </c>
      <c r="H1070" s="167">
        <f t="shared" ref="H1070:M1070" si="241">H$26*H914</f>
        <v>0</v>
      </c>
      <c r="I1070" s="167">
        <f t="shared" si="241"/>
        <v>0</v>
      </c>
      <c r="J1070" s="167">
        <f t="shared" si="241"/>
        <v>0</v>
      </c>
      <c r="K1070" s="167">
        <f t="shared" si="241"/>
        <v>0</v>
      </c>
      <c r="L1070" s="167">
        <f t="shared" si="241"/>
        <v>0</v>
      </c>
      <c r="M1070" s="167">
        <f t="shared" si="241"/>
        <v>0</v>
      </c>
      <c r="O1070" s="102">
        <f t="shared" si="205"/>
        <v>0</v>
      </c>
      <c r="P1070" s="167">
        <f t="shared" ref="P1070:U1070" si="242">P$26*P914</f>
        <v>0</v>
      </c>
      <c r="Q1070" s="167">
        <f t="shared" si="242"/>
        <v>0</v>
      </c>
      <c r="R1070" s="167">
        <f t="shared" si="242"/>
        <v>0</v>
      </c>
      <c r="S1070" s="167">
        <f t="shared" si="242"/>
        <v>0</v>
      </c>
      <c r="T1070" s="167">
        <f t="shared" si="242"/>
        <v>0</v>
      </c>
      <c r="U1070" s="167">
        <f t="shared" si="242"/>
        <v>0</v>
      </c>
    </row>
    <row r="1071" spans="3:21" hidden="1" outlineLevel="2">
      <c r="C1071" s="73" t="str">
        <v>SpareOfferD21</v>
      </c>
      <c r="D1071" s="97" t="s">
        <v>189</v>
      </c>
      <c r="F1071" s="148">
        <f t="shared" si="202"/>
        <v>0</v>
      </c>
      <c r="G1071" s="102">
        <f t="shared" si="203"/>
        <v>0</v>
      </c>
      <c r="H1071" s="167">
        <f t="shared" ref="H1071:M1071" si="243">H$26*H915</f>
        <v>0</v>
      </c>
      <c r="I1071" s="167">
        <f t="shared" si="243"/>
        <v>0</v>
      </c>
      <c r="J1071" s="167">
        <f t="shared" si="243"/>
        <v>0</v>
      </c>
      <c r="K1071" s="167">
        <f t="shared" si="243"/>
        <v>0</v>
      </c>
      <c r="L1071" s="167">
        <f t="shared" si="243"/>
        <v>0</v>
      </c>
      <c r="M1071" s="167">
        <f t="shared" si="243"/>
        <v>0</v>
      </c>
      <c r="O1071" s="102">
        <f t="shared" si="205"/>
        <v>0</v>
      </c>
      <c r="P1071" s="167">
        <f t="shared" ref="P1071:U1071" si="244">P$26*P915</f>
        <v>0</v>
      </c>
      <c r="Q1071" s="167">
        <f t="shared" si="244"/>
        <v>0</v>
      </c>
      <c r="R1071" s="167">
        <f t="shared" si="244"/>
        <v>0</v>
      </c>
      <c r="S1071" s="167">
        <f t="shared" si="244"/>
        <v>0</v>
      </c>
      <c r="T1071" s="167">
        <f t="shared" si="244"/>
        <v>0</v>
      </c>
      <c r="U1071" s="167">
        <f t="shared" si="244"/>
        <v>0</v>
      </c>
    </row>
    <row r="1072" spans="3:21" hidden="1" outlineLevel="2">
      <c r="C1072" s="73" t="str">
        <v>SpareOfferD22</v>
      </c>
      <c r="D1072" s="97" t="s">
        <v>189</v>
      </c>
      <c r="F1072" s="148">
        <f t="shared" si="202"/>
        <v>0</v>
      </c>
      <c r="G1072" s="102">
        <f t="shared" si="203"/>
        <v>0</v>
      </c>
      <c r="H1072" s="167">
        <f t="shared" ref="H1072:M1072" si="245">H$26*H916</f>
        <v>0</v>
      </c>
      <c r="I1072" s="167">
        <f t="shared" si="245"/>
        <v>0</v>
      </c>
      <c r="J1072" s="167">
        <f t="shared" si="245"/>
        <v>0</v>
      </c>
      <c r="K1072" s="167">
        <f t="shared" si="245"/>
        <v>0</v>
      </c>
      <c r="L1072" s="167">
        <f t="shared" si="245"/>
        <v>0</v>
      </c>
      <c r="M1072" s="167">
        <f t="shared" si="245"/>
        <v>0</v>
      </c>
      <c r="O1072" s="102">
        <f t="shared" si="205"/>
        <v>0</v>
      </c>
      <c r="P1072" s="167">
        <f t="shared" ref="P1072:U1072" si="246">P$26*P916</f>
        <v>0</v>
      </c>
      <c r="Q1072" s="167">
        <f t="shared" si="246"/>
        <v>0</v>
      </c>
      <c r="R1072" s="167">
        <f t="shared" si="246"/>
        <v>0</v>
      </c>
      <c r="S1072" s="167">
        <f t="shared" si="246"/>
        <v>0</v>
      </c>
      <c r="T1072" s="167">
        <f t="shared" si="246"/>
        <v>0</v>
      </c>
      <c r="U1072" s="167">
        <f t="shared" si="246"/>
        <v>0</v>
      </c>
    </row>
    <row r="1073" spans="3:21" hidden="1" outlineLevel="2">
      <c r="C1073" s="73" t="str">
        <v>SpareOfferD23</v>
      </c>
      <c r="D1073" s="97" t="s">
        <v>189</v>
      </c>
      <c r="F1073" s="148">
        <f t="shared" si="202"/>
        <v>0</v>
      </c>
      <c r="G1073" s="102">
        <f t="shared" si="203"/>
        <v>0</v>
      </c>
      <c r="H1073" s="167">
        <f t="shared" ref="H1073:M1073" si="247">H$26*H917</f>
        <v>0</v>
      </c>
      <c r="I1073" s="167">
        <f t="shared" si="247"/>
        <v>0</v>
      </c>
      <c r="J1073" s="167">
        <f t="shared" si="247"/>
        <v>0</v>
      </c>
      <c r="K1073" s="167">
        <f t="shared" si="247"/>
        <v>0</v>
      </c>
      <c r="L1073" s="167">
        <f t="shared" si="247"/>
        <v>0</v>
      </c>
      <c r="M1073" s="167">
        <f t="shared" si="247"/>
        <v>0</v>
      </c>
      <c r="O1073" s="102">
        <f t="shared" si="205"/>
        <v>0</v>
      </c>
      <c r="P1073" s="167">
        <f t="shared" ref="P1073:U1073" si="248">P$26*P917</f>
        <v>0</v>
      </c>
      <c r="Q1073" s="167">
        <f t="shared" si="248"/>
        <v>0</v>
      </c>
      <c r="R1073" s="167">
        <f t="shared" si="248"/>
        <v>0</v>
      </c>
      <c r="S1073" s="167">
        <f t="shared" si="248"/>
        <v>0</v>
      </c>
      <c r="T1073" s="167">
        <f t="shared" si="248"/>
        <v>0</v>
      </c>
      <c r="U1073" s="167">
        <f t="shared" si="248"/>
        <v>0</v>
      </c>
    </row>
    <row r="1074" spans="3:21" hidden="1" outlineLevel="2">
      <c r="C1074" s="73" t="str">
        <v>SpareOfferD24</v>
      </c>
      <c r="D1074" s="97" t="s">
        <v>189</v>
      </c>
      <c r="F1074" s="148">
        <f t="shared" si="202"/>
        <v>0</v>
      </c>
      <c r="G1074" s="102">
        <f t="shared" si="203"/>
        <v>0</v>
      </c>
      <c r="H1074" s="167">
        <f t="shared" ref="H1074:M1074" si="249">H$26*H918</f>
        <v>0</v>
      </c>
      <c r="I1074" s="167">
        <f t="shared" si="249"/>
        <v>0</v>
      </c>
      <c r="J1074" s="167">
        <f t="shared" si="249"/>
        <v>0</v>
      </c>
      <c r="K1074" s="167">
        <f t="shared" si="249"/>
        <v>0</v>
      </c>
      <c r="L1074" s="167">
        <f t="shared" si="249"/>
        <v>0</v>
      </c>
      <c r="M1074" s="167">
        <f t="shared" si="249"/>
        <v>0</v>
      </c>
      <c r="O1074" s="102">
        <f t="shared" si="205"/>
        <v>0</v>
      </c>
      <c r="P1074" s="167">
        <f t="shared" ref="P1074:U1074" si="250">P$26*P918</f>
        <v>0</v>
      </c>
      <c r="Q1074" s="167">
        <f t="shared" si="250"/>
        <v>0</v>
      </c>
      <c r="R1074" s="167">
        <f t="shared" si="250"/>
        <v>0</v>
      </c>
      <c r="S1074" s="167">
        <f t="shared" si="250"/>
        <v>0</v>
      </c>
      <c r="T1074" s="167">
        <f t="shared" si="250"/>
        <v>0</v>
      </c>
      <c r="U1074" s="167">
        <f t="shared" si="250"/>
        <v>0</v>
      </c>
    </row>
    <row r="1075" spans="3:21" hidden="1" outlineLevel="2">
      <c r="C1075" s="73" t="str">
        <v>SpareOfferD25</v>
      </c>
      <c r="D1075" s="97" t="s">
        <v>189</v>
      </c>
      <c r="F1075" s="148">
        <f t="shared" si="202"/>
        <v>0</v>
      </c>
      <c r="G1075" s="102">
        <f t="shared" si="203"/>
        <v>0</v>
      </c>
      <c r="H1075" s="167">
        <f t="shared" ref="H1075:M1075" si="251">H$26*H919</f>
        <v>0</v>
      </c>
      <c r="I1075" s="167">
        <f t="shared" si="251"/>
        <v>0</v>
      </c>
      <c r="J1075" s="167">
        <f t="shared" si="251"/>
        <v>0</v>
      </c>
      <c r="K1075" s="167">
        <f t="shared" si="251"/>
        <v>0</v>
      </c>
      <c r="L1075" s="167">
        <f t="shared" si="251"/>
        <v>0</v>
      </c>
      <c r="M1075" s="167">
        <f t="shared" si="251"/>
        <v>0</v>
      </c>
      <c r="O1075" s="102">
        <f t="shared" si="205"/>
        <v>0</v>
      </c>
      <c r="P1075" s="167">
        <f t="shared" ref="P1075:U1075" si="252">P$26*P919</f>
        <v>0</v>
      </c>
      <c r="Q1075" s="167">
        <f t="shared" si="252"/>
        <v>0</v>
      </c>
      <c r="R1075" s="167">
        <f t="shared" si="252"/>
        <v>0</v>
      </c>
      <c r="S1075" s="167">
        <f t="shared" si="252"/>
        <v>0</v>
      </c>
      <c r="T1075" s="167">
        <f t="shared" si="252"/>
        <v>0</v>
      </c>
      <c r="U1075" s="167">
        <f t="shared" si="252"/>
        <v>0</v>
      </c>
    </row>
    <row r="1076" spans="3:21" hidden="1" outlineLevel="2">
      <c r="C1076" s="73" t="str">
        <v>SpareOfferD26</v>
      </c>
      <c r="D1076" s="97" t="s">
        <v>189</v>
      </c>
      <c r="F1076" s="148">
        <f t="shared" si="202"/>
        <v>0</v>
      </c>
      <c r="G1076" s="102">
        <f t="shared" si="203"/>
        <v>0</v>
      </c>
      <c r="H1076" s="167">
        <f t="shared" ref="H1076:M1076" si="253">H$26*H920</f>
        <v>0</v>
      </c>
      <c r="I1076" s="167">
        <f t="shared" si="253"/>
        <v>0</v>
      </c>
      <c r="J1076" s="167">
        <f t="shared" si="253"/>
        <v>0</v>
      </c>
      <c r="K1076" s="167">
        <f t="shared" si="253"/>
        <v>0</v>
      </c>
      <c r="L1076" s="167">
        <f t="shared" si="253"/>
        <v>0</v>
      </c>
      <c r="M1076" s="167">
        <f t="shared" si="253"/>
        <v>0</v>
      </c>
      <c r="O1076" s="102">
        <f t="shared" si="205"/>
        <v>0</v>
      </c>
      <c r="P1076" s="167">
        <f t="shared" ref="P1076:U1076" si="254">P$26*P920</f>
        <v>0</v>
      </c>
      <c r="Q1076" s="167">
        <f t="shared" si="254"/>
        <v>0</v>
      </c>
      <c r="R1076" s="167">
        <f t="shared" si="254"/>
        <v>0</v>
      </c>
      <c r="S1076" s="167">
        <f t="shared" si="254"/>
        <v>0</v>
      </c>
      <c r="T1076" s="167">
        <f t="shared" si="254"/>
        <v>0</v>
      </c>
      <c r="U1076" s="167">
        <f t="shared" si="254"/>
        <v>0</v>
      </c>
    </row>
    <row r="1077" spans="3:21" hidden="1" outlineLevel="2">
      <c r="C1077" s="73" t="str">
        <v>SpareOfferD27</v>
      </c>
      <c r="D1077" s="97" t="s">
        <v>189</v>
      </c>
      <c r="F1077" s="148">
        <f t="shared" si="202"/>
        <v>0</v>
      </c>
      <c r="G1077" s="102">
        <f t="shared" si="203"/>
        <v>0</v>
      </c>
      <c r="H1077" s="167">
        <f t="shared" ref="H1077:M1077" si="255">H$26*H921</f>
        <v>0</v>
      </c>
      <c r="I1077" s="167">
        <f t="shared" si="255"/>
        <v>0</v>
      </c>
      <c r="J1077" s="167">
        <f t="shared" si="255"/>
        <v>0</v>
      </c>
      <c r="K1077" s="167">
        <f t="shared" si="255"/>
        <v>0</v>
      </c>
      <c r="L1077" s="167">
        <f t="shared" si="255"/>
        <v>0</v>
      </c>
      <c r="M1077" s="167">
        <f t="shared" si="255"/>
        <v>0</v>
      </c>
      <c r="O1077" s="102">
        <f t="shared" si="205"/>
        <v>0</v>
      </c>
      <c r="P1077" s="167">
        <f t="shared" ref="P1077:U1077" si="256">P$26*P921</f>
        <v>0</v>
      </c>
      <c r="Q1077" s="167">
        <f t="shared" si="256"/>
        <v>0</v>
      </c>
      <c r="R1077" s="167">
        <f t="shared" si="256"/>
        <v>0</v>
      </c>
      <c r="S1077" s="167">
        <f t="shared" si="256"/>
        <v>0</v>
      </c>
      <c r="T1077" s="167">
        <f t="shared" si="256"/>
        <v>0</v>
      </c>
      <c r="U1077" s="167">
        <f t="shared" si="256"/>
        <v>0</v>
      </c>
    </row>
    <row r="1078" spans="3:21" hidden="1" outlineLevel="2">
      <c r="C1078" s="73" t="str">
        <v>SpareOfferD28</v>
      </c>
      <c r="D1078" s="97" t="s">
        <v>189</v>
      </c>
      <c r="F1078" s="148">
        <f t="shared" si="202"/>
        <v>0</v>
      </c>
      <c r="G1078" s="102">
        <f t="shared" si="203"/>
        <v>0</v>
      </c>
      <c r="H1078" s="167">
        <f t="shared" ref="H1078:M1078" si="257">H$26*H922</f>
        <v>0</v>
      </c>
      <c r="I1078" s="167">
        <f t="shared" si="257"/>
        <v>0</v>
      </c>
      <c r="J1078" s="167">
        <f t="shared" si="257"/>
        <v>0</v>
      </c>
      <c r="K1078" s="167">
        <f t="shared" si="257"/>
        <v>0</v>
      </c>
      <c r="L1078" s="167">
        <f t="shared" si="257"/>
        <v>0</v>
      </c>
      <c r="M1078" s="167">
        <f t="shared" si="257"/>
        <v>0</v>
      </c>
      <c r="O1078" s="102">
        <f t="shared" si="205"/>
        <v>0</v>
      </c>
      <c r="P1078" s="167">
        <f t="shared" ref="P1078:U1078" si="258">P$26*P922</f>
        <v>0</v>
      </c>
      <c r="Q1078" s="167">
        <f t="shared" si="258"/>
        <v>0</v>
      </c>
      <c r="R1078" s="167">
        <f t="shared" si="258"/>
        <v>0</v>
      </c>
      <c r="S1078" s="167">
        <f t="shared" si="258"/>
        <v>0</v>
      </c>
      <c r="T1078" s="167">
        <f t="shared" si="258"/>
        <v>0</v>
      </c>
      <c r="U1078" s="167">
        <f t="shared" si="258"/>
        <v>0</v>
      </c>
    </row>
    <row r="1079" spans="3:21" hidden="1" outlineLevel="2">
      <c r="C1079" s="73" t="str">
        <v>SpareOfferD29</v>
      </c>
      <c r="D1079" s="97" t="s">
        <v>189</v>
      </c>
      <c r="F1079" s="148">
        <f t="shared" si="202"/>
        <v>0</v>
      </c>
      <c r="G1079" s="102">
        <f t="shared" si="203"/>
        <v>0</v>
      </c>
      <c r="H1079" s="167">
        <f t="shared" ref="H1079:M1079" si="259">H$26*H923</f>
        <v>0</v>
      </c>
      <c r="I1079" s="167">
        <f t="shared" si="259"/>
        <v>0</v>
      </c>
      <c r="J1079" s="167">
        <f t="shared" si="259"/>
        <v>0</v>
      </c>
      <c r="K1079" s="167">
        <f t="shared" si="259"/>
        <v>0</v>
      </c>
      <c r="L1079" s="167">
        <f t="shared" si="259"/>
        <v>0</v>
      </c>
      <c r="M1079" s="167">
        <f t="shared" si="259"/>
        <v>0</v>
      </c>
      <c r="O1079" s="102">
        <f t="shared" si="205"/>
        <v>0</v>
      </c>
      <c r="P1079" s="167">
        <f t="shared" ref="P1079:U1079" si="260">P$26*P923</f>
        <v>0</v>
      </c>
      <c r="Q1079" s="167">
        <f t="shared" si="260"/>
        <v>0</v>
      </c>
      <c r="R1079" s="167">
        <f t="shared" si="260"/>
        <v>0</v>
      </c>
      <c r="S1079" s="167">
        <f t="shared" si="260"/>
        <v>0</v>
      </c>
      <c r="T1079" s="167">
        <f t="shared" si="260"/>
        <v>0</v>
      </c>
      <c r="U1079" s="167">
        <f t="shared" si="260"/>
        <v>0</v>
      </c>
    </row>
    <row r="1080" spans="3:21" hidden="1" outlineLevel="2">
      <c r="C1080" s="73" t="str">
        <v>SpareOfferD30</v>
      </c>
      <c r="D1080" s="97" t="s">
        <v>189</v>
      </c>
      <c r="F1080" s="148">
        <f t="shared" si="202"/>
        <v>0</v>
      </c>
      <c r="G1080" s="102">
        <f t="shared" si="203"/>
        <v>0</v>
      </c>
      <c r="H1080" s="167">
        <f t="shared" ref="H1080:M1080" si="261">H$26*H924</f>
        <v>0</v>
      </c>
      <c r="I1080" s="167">
        <f t="shared" si="261"/>
        <v>0</v>
      </c>
      <c r="J1080" s="167">
        <f t="shared" si="261"/>
        <v>0</v>
      </c>
      <c r="K1080" s="167">
        <f t="shared" si="261"/>
        <v>0</v>
      </c>
      <c r="L1080" s="167">
        <f t="shared" si="261"/>
        <v>0</v>
      </c>
      <c r="M1080" s="167">
        <f t="shared" si="261"/>
        <v>0</v>
      </c>
      <c r="O1080" s="102">
        <f t="shared" si="205"/>
        <v>0</v>
      </c>
      <c r="P1080" s="167">
        <f t="shared" ref="P1080:U1080" si="262">P$26*P924</f>
        <v>0</v>
      </c>
      <c r="Q1080" s="167">
        <f t="shared" si="262"/>
        <v>0</v>
      </c>
      <c r="R1080" s="167">
        <f t="shared" si="262"/>
        <v>0</v>
      </c>
      <c r="S1080" s="167">
        <f t="shared" si="262"/>
        <v>0</v>
      </c>
      <c r="T1080" s="167">
        <f t="shared" si="262"/>
        <v>0</v>
      </c>
      <c r="U1080" s="167">
        <f t="shared" si="262"/>
        <v>0</v>
      </c>
    </row>
    <row r="1081" spans="3:21" ht="12" hidden="1" customHeight="1" outlineLevel="2">
      <c r="C1081" s="73" t="str">
        <v>SpareOfferD31</v>
      </c>
      <c r="D1081" s="97" t="s">
        <v>189</v>
      </c>
      <c r="F1081" s="148">
        <f t="shared" si="202"/>
        <v>0</v>
      </c>
      <c r="G1081" s="102">
        <f t="shared" si="203"/>
        <v>0</v>
      </c>
      <c r="H1081" s="167">
        <f t="shared" ref="H1081:M1081" si="263">H$26*H925</f>
        <v>0</v>
      </c>
      <c r="I1081" s="167">
        <f t="shared" si="263"/>
        <v>0</v>
      </c>
      <c r="J1081" s="167">
        <f t="shared" si="263"/>
        <v>0</v>
      </c>
      <c r="K1081" s="167">
        <f t="shared" si="263"/>
        <v>0</v>
      </c>
      <c r="L1081" s="167">
        <f t="shared" si="263"/>
        <v>0</v>
      </c>
      <c r="M1081" s="167">
        <f t="shared" si="263"/>
        <v>0</v>
      </c>
      <c r="O1081" s="102">
        <f t="shared" si="205"/>
        <v>0</v>
      </c>
      <c r="P1081" s="167">
        <f t="shared" ref="P1081:U1081" si="264">P$26*P925</f>
        <v>0</v>
      </c>
      <c r="Q1081" s="167">
        <f t="shared" si="264"/>
        <v>0</v>
      </c>
      <c r="R1081" s="167">
        <f t="shared" si="264"/>
        <v>0</v>
      </c>
      <c r="S1081" s="167">
        <f t="shared" si="264"/>
        <v>0</v>
      </c>
      <c r="T1081" s="167">
        <f t="shared" si="264"/>
        <v>0</v>
      </c>
      <c r="U1081" s="167">
        <f t="shared" si="264"/>
        <v>0</v>
      </c>
    </row>
    <row r="1082" spans="3:21" hidden="1" outlineLevel="2">
      <c r="C1082" s="73" t="str">
        <v>SpareOfferD32</v>
      </c>
      <c r="D1082" s="97" t="s">
        <v>189</v>
      </c>
      <c r="F1082" s="148">
        <f t="shared" si="202"/>
        <v>0</v>
      </c>
      <c r="G1082" s="102">
        <f t="shared" si="203"/>
        <v>0</v>
      </c>
      <c r="H1082" s="167">
        <f t="shared" ref="H1082:M1082" si="265">H$26*H926</f>
        <v>0</v>
      </c>
      <c r="I1082" s="167">
        <f t="shared" si="265"/>
        <v>0</v>
      </c>
      <c r="J1082" s="167">
        <f t="shared" si="265"/>
        <v>0</v>
      </c>
      <c r="K1082" s="167">
        <f t="shared" si="265"/>
        <v>0</v>
      </c>
      <c r="L1082" s="167">
        <f t="shared" si="265"/>
        <v>0</v>
      </c>
      <c r="M1082" s="167">
        <f t="shared" si="265"/>
        <v>0</v>
      </c>
      <c r="O1082" s="102">
        <f t="shared" si="205"/>
        <v>0</v>
      </c>
      <c r="P1082" s="167">
        <f t="shared" ref="P1082:U1082" si="266">P$26*P926</f>
        <v>0</v>
      </c>
      <c r="Q1082" s="167">
        <f t="shared" si="266"/>
        <v>0</v>
      </c>
      <c r="R1082" s="167">
        <f t="shared" si="266"/>
        <v>0</v>
      </c>
      <c r="S1082" s="167">
        <f t="shared" si="266"/>
        <v>0</v>
      </c>
      <c r="T1082" s="167">
        <f t="shared" si="266"/>
        <v>0</v>
      </c>
      <c r="U1082" s="167">
        <f t="shared" si="266"/>
        <v>0</v>
      </c>
    </row>
    <row r="1083" spans="3:21" hidden="1" outlineLevel="2">
      <c r="C1083" s="73" t="str">
        <v>SpareOfferD33</v>
      </c>
      <c r="D1083" s="97" t="s">
        <v>189</v>
      </c>
      <c r="F1083" s="148">
        <f t="shared" si="202"/>
        <v>0</v>
      </c>
      <c r="G1083" s="102">
        <f t="shared" si="203"/>
        <v>0</v>
      </c>
      <c r="H1083" s="167">
        <f t="shared" ref="H1083:M1083" si="267">H$26*H927</f>
        <v>0</v>
      </c>
      <c r="I1083" s="167">
        <f t="shared" si="267"/>
        <v>0</v>
      </c>
      <c r="J1083" s="167">
        <f t="shared" si="267"/>
        <v>0</v>
      </c>
      <c r="K1083" s="167">
        <f t="shared" si="267"/>
        <v>0</v>
      </c>
      <c r="L1083" s="167">
        <f t="shared" si="267"/>
        <v>0</v>
      </c>
      <c r="M1083" s="167">
        <f t="shared" si="267"/>
        <v>0</v>
      </c>
      <c r="O1083" s="102">
        <f t="shared" si="205"/>
        <v>0</v>
      </c>
      <c r="P1083" s="167">
        <f t="shared" ref="P1083:U1083" si="268">P$26*P927</f>
        <v>0</v>
      </c>
      <c r="Q1083" s="167">
        <f t="shared" si="268"/>
        <v>0</v>
      </c>
      <c r="R1083" s="167">
        <f t="shared" si="268"/>
        <v>0</v>
      </c>
      <c r="S1083" s="167">
        <f t="shared" si="268"/>
        <v>0</v>
      </c>
      <c r="T1083" s="167">
        <f t="shared" si="268"/>
        <v>0</v>
      </c>
      <c r="U1083" s="167">
        <f t="shared" si="268"/>
        <v>0</v>
      </c>
    </row>
    <row r="1084" spans="3:21" hidden="1" outlineLevel="2">
      <c r="C1084" s="73" t="str">
        <v>SpareOfferD34</v>
      </c>
      <c r="D1084" s="97" t="s">
        <v>189</v>
      </c>
      <c r="F1084" s="148">
        <f t="shared" si="202"/>
        <v>0</v>
      </c>
      <c r="G1084" s="102">
        <f t="shared" si="203"/>
        <v>0</v>
      </c>
      <c r="H1084" s="167">
        <f t="shared" ref="H1084:M1084" si="269">H$26*H928</f>
        <v>0</v>
      </c>
      <c r="I1084" s="167">
        <f t="shared" si="269"/>
        <v>0</v>
      </c>
      <c r="J1084" s="167">
        <f t="shared" si="269"/>
        <v>0</v>
      </c>
      <c r="K1084" s="167">
        <f t="shared" si="269"/>
        <v>0</v>
      </c>
      <c r="L1084" s="167">
        <f t="shared" si="269"/>
        <v>0</v>
      </c>
      <c r="M1084" s="167">
        <f t="shared" si="269"/>
        <v>0</v>
      </c>
      <c r="O1084" s="102">
        <f t="shared" si="205"/>
        <v>0</v>
      </c>
      <c r="P1084" s="167">
        <f t="shared" ref="P1084:U1084" si="270">P$26*P928</f>
        <v>0</v>
      </c>
      <c r="Q1084" s="167">
        <f t="shared" si="270"/>
        <v>0</v>
      </c>
      <c r="R1084" s="167">
        <f t="shared" si="270"/>
        <v>0</v>
      </c>
      <c r="S1084" s="167">
        <f t="shared" si="270"/>
        <v>0</v>
      </c>
      <c r="T1084" s="167">
        <f t="shared" si="270"/>
        <v>0</v>
      </c>
      <c r="U1084" s="167">
        <f t="shared" si="270"/>
        <v>0</v>
      </c>
    </row>
    <row r="1085" spans="3:21" outlineLevel="1" collapsed="1">
      <c r="C1085" s="73" t="str">
        <v>-</v>
      </c>
      <c r="D1085" s="97" t="s">
        <v>189</v>
      </c>
      <c r="F1085" s="148">
        <f t="shared" si="202"/>
        <v>0</v>
      </c>
      <c r="G1085" s="102">
        <f t="shared" si="203"/>
        <v>0</v>
      </c>
      <c r="H1085" s="167">
        <f t="shared" ref="H1085:M1085" si="271">H$26*H929</f>
        <v>0</v>
      </c>
      <c r="I1085" s="167">
        <f t="shared" si="271"/>
        <v>0</v>
      </c>
      <c r="J1085" s="167">
        <f t="shared" si="271"/>
        <v>0</v>
      </c>
      <c r="K1085" s="167">
        <f t="shared" si="271"/>
        <v>0</v>
      </c>
      <c r="L1085" s="167">
        <f t="shared" si="271"/>
        <v>0</v>
      </c>
      <c r="M1085" s="167">
        <f t="shared" si="271"/>
        <v>0</v>
      </c>
      <c r="O1085" s="102">
        <f t="shared" si="205"/>
        <v>0</v>
      </c>
      <c r="P1085" s="167">
        <f t="shared" ref="P1085:U1085" si="272">P$26*P929</f>
        <v>0</v>
      </c>
      <c r="Q1085" s="167">
        <f t="shared" si="272"/>
        <v>0</v>
      </c>
      <c r="R1085" s="167">
        <f t="shared" si="272"/>
        <v>0</v>
      </c>
      <c r="S1085" s="167">
        <f t="shared" si="272"/>
        <v>0</v>
      </c>
      <c r="T1085" s="167">
        <f t="shared" si="272"/>
        <v>0</v>
      </c>
      <c r="U1085" s="167">
        <f t="shared" si="272"/>
        <v>0</v>
      </c>
    </row>
    <row r="1086" spans="3:21" outlineLevel="1"/>
    <row r="1087" spans="3:21" outlineLevel="1">
      <c r="C1087" s="35" t="s">
        <v>316</v>
      </c>
      <c r="G1087" s="165" t="s">
        <v>228</v>
      </c>
      <c r="H1087" s="165"/>
      <c r="I1087" s="165"/>
      <c r="J1087" s="165"/>
      <c r="K1087" s="165"/>
      <c r="L1087" s="165"/>
      <c r="M1087" s="165"/>
      <c r="N1087" s="165"/>
      <c r="O1087" s="165"/>
    </row>
    <row r="1088" spans="3:21" ht="23" outlineLevel="1">
      <c r="F1088" s="1" t="s">
        <v>317</v>
      </c>
      <c r="G1088" s="95" t="str">
        <f t="array" ref="G1088:O1088">TRANSPOSE(wholesale.data.tiers)</f>
        <v>W/S spare tier 1</v>
      </c>
      <c r="H1088" s="95" t="str">
        <v>W/S spare tier 2</v>
      </c>
      <c r="I1088" s="95" t="str">
        <v>W/S spare tier 3</v>
      </c>
      <c r="J1088" s="95" t="str">
        <v>W/S spare tier 4</v>
      </c>
      <c r="K1088" s="95" t="str">
        <v>W/S spare tier 5</v>
      </c>
      <c r="L1088" s="95" t="str">
        <v>W/S spare tier 6</v>
      </c>
      <c r="M1088" s="95" t="str">
        <v>W/S spare tier 7</v>
      </c>
      <c r="N1088" s="95" t="str">
        <v>W/S spare tier 8</v>
      </c>
      <c r="O1088" s="95" t="str">
        <v>W/S spare tier 9</v>
      </c>
    </row>
    <row r="1089" spans="3:15" outlineLevel="1">
      <c r="C1089" s="91" t="s">
        <v>89</v>
      </c>
      <c r="D1089" s="97" t="s">
        <v>189</v>
      </c>
      <c r="F1089" s="114">
        <f>SUMPRODUCT(F1090:F1124,subscription.split.segment.4)</f>
        <v>0</v>
      </c>
      <c r="G1089" s="114">
        <f t="shared" ref="G1089:O1089" si="273">SUMPRODUCT(G1090:G1124,subscription.split.segment.4)</f>
        <v>0</v>
      </c>
      <c r="H1089" s="114">
        <f t="shared" si="273"/>
        <v>0</v>
      </c>
      <c r="I1089" s="114">
        <f t="shared" si="273"/>
        <v>0</v>
      </c>
      <c r="J1089" s="114">
        <f t="shared" si="273"/>
        <v>0</v>
      </c>
      <c r="K1089" s="114">
        <f t="shared" si="273"/>
        <v>0</v>
      </c>
      <c r="L1089" s="114">
        <f t="shared" si="273"/>
        <v>0</v>
      </c>
      <c r="M1089" s="114">
        <f t="shared" si="273"/>
        <v>0</v>
      </c>
      <c r="N1089" s="114">
        <f t="shared" si="273"/>
        <v>0</v>
      </c>
      <c r="O1089" s="114">
        <f t="shared" si="273"/>
        <v>0</v>
      </c>
    </row>
    <row r="1090" spans="3:15" outlineLevel="1">
      <c r="C1090" s="73" t="str">
        <f t="array" ref="C1090:C1124">offers.segment.4</f>
        <v>SpareOfferD1</v>
      </c>
      <c r="D1090" s="97" t="s">
        <v>189</v>
      </c>
      <c r="F1090" s="148">
        <f t="shared" ref="F1090:F1124" si="274">SUM(G1090:K1090)</f>
        <v>0</v>
      </c>
      <c r="G1090" s="161">
        <f>G934*G140</f>
        <v>0</v>
      </c>
      <c r="H1090" s="161">
        <f t="shared" ref="H1090:O1090" si="275">H934*H140</f>
        <v>0</v>
      </c>
      <c r="I1090" s="161">
        <f t="shared" si="275"/>
        <v>0</v>
      </c>
      <c r="J1090" s="161">
        <f t="shared" si="275"/>
        <v>0</v>
      </c>
      <c r="K1090" s="161">
        <f t="shared" si="275"/>
        <v>0</v>
      </c>
      <c r="L1090" s="161">
        <f t="shared" si="275"/>
        <v>0</v>
      </c>
      <c r="M1090" s="161">
        <f t="shared" si="275"/>
        <v>0</v>
      </c>
      <c r="N1090" s="161">
        <f t="shared" si="275"/>
        <v>0</v>
      </c>
      <c r="O1090" s="161">
        <f t="shared" si="275"/>
        <v>0</v>
      </c>
    </row>
    <row r="1091" spans="3:15" hidden="1" outlineLevel="2">
      <c r="C1091" s="73" t="str">
        <v>SpareOfferD2</v>
      </c>
      <c r="D1091" s="97" t="s">
        <v>189</v>
      </c>
      <c r="F1091" s="148">
        <f t="shared" si="274"/>
        <v>0</v>
      </c>
      <c r="G1091" s="161">
        <f t="shared" ref="G1091:O1091" si="276">G935*G141</f>
        <v>0</v>
      </c>
      <c r="H1091" s="161">
        <f t="shared" si="276"/>
        <v>0</v>
      </c>
      <c r="I1091" s="161">
        <f t="shared" si="276"/>
        <v>0</v>
      </c>
      <c r="J1091" s="161">
        <f t="shared" si="276"/>
        <v>0</v>
      </c>
      <c r="K1091" s="161">
        <f t="shared" si="276"/>
        <v>0</v>
      </c>
      <c r="L1091" s="161">
        <f t="shared" si="276"/>
        <v>0</v>
      </c>
      <c r="M1091" s="161">
        <f t="shared" si="276"/>
        <v>0</v>
      </c>
      <c r="N1091" s="161">
        <f t="shared" si="276"/>
        <v>0</v>
      </c>
      <c r="O1091" s="161">
        <f t="shared" si="276"/>
        <v>0</v>
      </c>
    </row>
    <row r="1092" spans="3:15" hidden="1" outlineLevel="2">
      <c r="C1092" s="73" t="str">
        <v>SpareOfferD3</v>
      </c>
      <c r="D1092" s="97" t="s">
        <v>189</v>
      </c>
      <c r="F1092" s="148">
        <f t="shared" si="274"/>
        <v>0</v>
      </c>
      <c r="G1092" s="161">
        <f t="shared" ref="G1092:O1092" si="277">G936*G142</f>
        <v>0</v>
      </c>
      <c r="H1092" s="161">
        <f t="shared" si="277"/>
        <v>0</v>
      </c>
      <c r="I1092" s="161">
        <f t="shared" si="277"/>
        <v>0</v>
      </c>
      <c r="J1092" s="161">
        <f t="shared" si="277"/>
        <v>0</v>
      </c>
      <c r="K1092" s="161">
        <f t="shared" si="277"/>
        <v>0</v>
      </c>
      <c r="L1092" s="161">
        <f t="shared" si="277"/>
        <v>0</v>
      </c>
      <c r="M1092" s="161">
        <f t="shared" si="277"/>
        <v>0</v>
      </c>
      <c r="N1092" s="161">
        <f t="shared" si="277"/>
        <v>0</v>
      </c>
      <c r="O1092" s="161">
        <f t="shared" si="277"/>
        <v>0</v>
      </c>
    </row>
    <row r="1093" spans="3:15" hidden="1" outlineLevel="2">
      <c r="C1093" s="73" t="str">
        <v>SpareOfferD4</v>
      </c>
      <c r="D1093" s="97" t="s">
        <v>189</v>
      </c>
      <c r="F1093" s="148">
        <f t="shared" si="274"/>
        <v>0</v>
      </c>
      <c r="G1093" s="161">
        <f t="shared" ref="G1093:O1093" si="278">G937*G143</f>
        <v>0</v>
      </c>
      <c r="H1093" s="161">
        <f t="shared" si="278"/>
        <v>0</v>
      </c>
      <c r="I1093" s="161">
        <f t="shared" si="278"/>
        <v>0</v>
      </c>
      <c r="J1093" s="161">
        <f t="shared" si="278"/>
        <v>0</v>
      </c>
      <c r="K1093" s="161">
        <f t="shared" si="278"/>
        <v>0</v>
      </c>
      <c r="L1093" s="161">
        <f t="shared" si="278"/>
        <v>0</v>
      </c>
      <c r="M1093" s="161">
        <f t="shared" si="278"/>
        <v>0</v>
      </c>
      <c r="N1093" s="161">
        <f t="shared" si="278"/>
        <v>0</v>
      </c>
      <c r="O1093" s="161">
        <f t="shared" si="278"/>
        <v>0</v>
      </c>
    </row>
    <row r="1094" spans="3:15" hidden="1" outlineLevel="2">
      <c r="C1094" s="73" t="str">
        <v>SpareOfferD5</v>
      </c>
      <c r="D1094" s="97" t="s">
        <v>189</v>
      </c>
      <c r="F1094" s="148">
        <f t="shared" si="274"/>
        <v>0</v>
      </c>
      <c r="G1094" s="161">
        <f t="shared" ref="G1094:O1094" si="279">G938*G144</f>
        <v>0</v>
      </c>
      <c r="H1094" s="161">
        <f t="shared" si="279"/>
        <v>0</v>
      </c>
      <c r="I1094" s="161">
        <f t="shared" si="279"/>
        <v>0</v>
      </c>
      <c r="J1094" s="161">
        <f t="shared" si="279"/>
        <v>0</v>
      </c>
      <c r="K1094" s="161">
        <f t="shared" si="279"/>
        <v>0</v>
      </c>
      <c r="L1094" s="161">
        <f t="shared" si="279"/>
        <v>0</v>
      </c>
      <c r="M1094" s="161">
        <f t="shared" si="279"/>
        <v>0</v>
      </c>
      <c r="N1094" s="161">
        <f t="shared" si="279"/>
        <v>0</v>
      </c>
      <c r="O1094" s="161">
        <f t="shared" si="279"/>
        <v>0</v>
      </c>
    </row>
    <row r="1095" spans="3:15" hidden="1" outlineLevel="2">
      <c r="C1095" s="73" t="str">
        <v>SpareOfferD6</v>
      </c>
      <c r="D1095" s="97" t="s">
        <v>189</v>
      </c>
      <c r="F1095" s="148">
        <f t="shared" si="274"/>
        <v>0</v>
      </c>
      <c r="G1095" s="161">
        <f t="shared" ref="G1095:O1095" si="280">G939*G145</f>
        <v>0</v>
      </c>
      <c r="H1095" s="161">
        <f t="shared" si="280"/>
        <v>0</v>
      </c>
      <c r="I1095" s="161">
        <f t="shared" si="280"/>
        <v>0</v>
      </c>
      <c r="J1095" s="161">
        <f t="shared" si="280"/>
        <v>0</v>
      </c>
      <c r="K1095" s="161">
        <f t="shared" si="280"/>
        <v>0</v>
      </c>
      <c r="L1095" s="161">
        <f t="shared" si="280"/>
        <v>0</v>
      </c>
      <c r="M1095" s="161">
        <f t="shared" si="280"/>
        <v>0</v>
      </c>
      <c r="N1095" s="161">
        <f t="shared" si="280"/>
        <v>0</v>
      </c>
      <c r="O1095" s="161">
        <f t="shared" si="280"/>
        <v>0</v>
      </c>
    </row>
    <row r="1096" spans="3:15" hidden="1" outlineLevel="2">
      <c r="C1096" s="73" t="str">
        <v>SpareOfferD7</v>
      </c>
      <c r="D1096" s="97" t="s">
        <v>189</v>
      </c>
      <c r="F1096" s="148">
        <f t="shared" si="274"/>
        <v>0</v>
      </c>
      <c r="G1096" s="161">
        <f t="shared" ref="G1096:O1096" si="281">G940*G146</f>
        <v>0</v>
      </c>
      <c r="H1096" s="161">
        <f t="shared" si="281"/>
        <v>0</v>
      </c>
      <c r="I1096" s="161">
        <f t="shared" si="281"/>
        <v>0</v>
      </c>
      <c r="J1096" s="161">
        <f t="shared" si="281"/>
        <v>0</v>
      </c>
      <c r="K1096" s="161">
        <f t="shared" si="281"/>
        <v>0</v>
      </c>
      <c r="L1096" s="161">
        <f t="shared" si="281"/>
        <v>0</v>
      </c>
      <c r="M1096" s="161">
        <f t="shared" si="281"/>
        <v>0</v>
      </c>
      <c r="N1096" s="161">
        <f t="shared" si="281"/>
        <v>0</v>
      </c>
      <c r="O1096" s="161">
        <f t="shared" si="281"/>
        <v>0</v>
      </c>
    </row>
    <row r="1097" spans="3:15" hidden="1" outlineLevel="2">
      <c r="C1097" s="73" t="str">
        <v>SpareOfferD8</v>
      </c>
      <c r="D1097" s="97" t="s">
        <v>189</v>
      </c>
      <c r="F1097" s="148">
        <f t="shared" si="274"/>
        <v>0</v>
      </c>
      <c r="G1097" s="161">
        <f t="shared" ref="G1097:O1097" si="282">G941*G147</f>
        <v>0</v>
      </c>
      <c r="H1097" s="161">
        <f t="shared" si="282"/>
        <v>0</v>
      </c>
      <c r="I1097" s="161">
        <f t="shared" si="282"/>
        <v>0</v>
      </c>
      <c r="J1097" s="161">
        <f t="shared" si="282"/>
        <v>0</v>
      </c>
      <c r="K1097" s="161">
        <f t="shared" si="282"/>
        <v>0</v>
      </c>
      <c r="L1097" s="161">
        <f t="shared" si="282"/>
        <v>0</v>
      </c>
      <c r="M1097" s="161">
        <f t="shared" si="282"/>
        <v>0</v>
      </c>
      <c r="N1097" s="161">
        <f t="shared" si="282"/>
        <v>0</v>
      </c>
      <c r="O1097" s="161">
        <f t="shared" si="282"/>
        <v>0</v>
      </c>
    </row>
    <row r="1098" spans="3:15" hidden="1" outlineLevel="2">
      <c r="C1098" s="73" t="str">
        <v>SpareOfferD9</v>
      </c>
      <c r="D1098" s="97" t="s">
        <v>189</v>
      </c>
      <c r="F1098" s="148">
        <f t="shared" si="274"/>
        <v>0</v>
      </c>
      <c r="G1098" s="161">
        <f t="shared" ref="G1098:O1098" si="283">G942*G148</f>
        <v>0</v>
      </c>
      <c r="H1098" s="161">
        <f t="shared" si="283"/>
        <v>0</v>
      </c>
      <c r="I1098" s="161">
        <f t="shared" si="283"/>
        <v>0</v>
      </c>
      <c r="J1098" s="161">
        <f t="shared" si="283"/>
        <v>0</v>
      </c>
      <c r="K1098" s="161">
        <f t="shared" si="283"/>
        <v>0</v>
      </c>
      <c r="L1098" s="161">
        <f t="shared" si="283"/>
        <v>0</v>
      </c>
      <c r="M1098" s="161">
        <f t="shared" si="283"/>
        <v>0</v>
      </c>
      <c r="N1098" s="161">
        <f t="shared" si="283"/>
        <v>0</v>
      </c>
      <c r="O1098" s="161">
        <f t="shared" si="283"/>
        <v>0</v>
      </c>
    </row>
    <row r="1099" spans="3:15" hidden="1" outlineLevel="2">
      <c r="C1099" s="73" t="str">
        <v>SpareOfferD10</v>
      </c>
      <c r="D1099" s="97" t="s">
        <v>189</v>
      </c>
      <c r="F1099" s="148">
        <f t="shared" si="274"/>
        <v>0</v>
      </c>
      <c r="G1099" s="161">
        <f t="shared" ref="G1099:O1099" si="284">G943*G149</f>
        <v>0</v>
      </c>
      <c r="H1099" s="161">
        <f t="shared" si="284"/>
        <v>0</v>
      </c>
      <c r="I1099" s="161">
        <f t="shared" si="284"/>
        <v>0</v>
      </c>
      <c r="J1099" s="161">
        <f t="shared" si="284"/>
        <v>0</v>
      </c>
      <c r="K1099" s="161">
        <f t="shared" si="284"/>
        <v>0</v>
      </c>
      <c r="L1099" s="161">
        <f t="shared" si="284"/>
        <v>0</v>
      </c>
      <c r="M1099" s="161">
        <f t="shared" si="284"/>
        <v>0</v>
      </c>
      <c r="N1099" s="161">
        <f t="shared" si="284"/>
        <v>0</v>
      </c>
      <c r="O1099" s="161">
        <f t="shared" si="284"/>
        <v>0</v>
      </c>
    </row>
    <row r="1100" spans="3:15" hidden="1" outlineLevel="2">
      <c r="C1100" s="73" t="str">
        <v>SpareOfferD11</v>
      </c>
      <c r="D1100" s="97" t="s">
        <v>189</v>
      </c>
      <c r="F1100" s="148">
        <f t="shared" si="274"/>
        <v>0</v>
      </c>
      <c r="G1100" s="161">
        <f t="shared" ref="G1100:O1100" si="285">G944*G150</f>
        <v>0</v>
      </c>
      <c r="H1100" s="161">
        <f t="shared" si="285"/>
        <v>0</v>
      </c>
      <c r="I1100" s="161">
        <f t="shared" si="285"/>
        <v>0</v>
      </c>
      <c r="J1100" s="161">
        <f t="shared" si="285"/>
        <v>0</v>
      </c>
      <c r="K1100" s="161">
        <f t="shared" si="285"/>
        <v>0</v>
      </c>
      <c r="L1100" s="161">
        <f t="shared" si="285"/>
        <v>0</v>
      </c>
      <c r="M1100" s="161">
        <f t="shared" si="285"/>
        <v>0</v>
      </c>
      <c r="N1100" s="161">
        <f t="shared" si="285"/>
        <v>0</v>
      </c>
      <c r="O1100" s="161">
        <f t="shared" si="285"/>
        <v>0</v>
      </c>
    </row>
    <row r="1101" spans="3:15" hidden="1" outlineLevel="2">
      <c r="C1101" s="73" t="str">
        <v>SpareOfferD12</v>
      </c>
      <c r="D1101" s="97" t="s">
        <v>189</v>
      </c>
      <c r="F1101" s="148">
        <f t="shared" si="274"/>
        <v>0</v>
      </c>
      <c r="G1101" s="161">
        <f t="shared" ref="G1101:O1101" si="286">G945*G151</f>
        <v>0</v>
      </c>
      <c r="H1101" s="161">
        <f t="shared" si="286"/>
        <v>0</v>
      </c>
      <c r="I1101" s="161">
        <f t="shared" si="286"/>
        <v>0</v>
      </c>
      <c r="J1101" s="161">
        <f t="shared" si="286"/>
        <v>0</v>
      </c>
      <c r="K1101" s="161">
        <f t="shared" si="286"/>
        <v>0</v>
      </c>
      <c r="L1101" s="161">
        <f t="shared" si="286"/>
        <v>0</v>
      </c>
      <c r="M1101" s="161">
        <f t="shared" si="286"/>
        <v>0</v>
      </c>
      <c r="N1101" s="161">
        <f t="shared" si="286"/>
        <v>0</v>
      </c>
      <c r="O1101" s="161">
        <f t="shared" si="286"/>
        <v>0</v>
      </c>
    </row>
    <row r="1102" spans="3:15" hidden="1" outlineLevel="2">
      <c r="C1102" s="73" t="str">
        <v>SpareOfferD13</v>
      </c>
      <c r="D1102" s="97" t="s">
        <v>189</v>
      </c>
      <c r="F1102" s="148">
        <f t="shared" si="274"/>
        <v>0</v>
      </c>
      <c r="G1102" s="161">
        <f t="shared" ref="G1102:O1102" si="287">G946*G152</f>
        <v>0</v>
      </c>
      <c r="H1102" s="161">
        <f t="shared" si="287"/>
        <v>0</v>
      </c>
      <c r="I1102" s="161">
        <f t="shared" si="287"/>
        <v>0</v>
      </c>
      <c r="J1102" s="161">
        <f t="shared" si="287"/>
        <v>0</v>
      </c>
      <c r="K1102" s="161">
        <f t="shared" si="287"/>
        <v>0</v>
      </c>
      <c r="L1102" s="161">
        <f t="shared" si="287"/>
        <v>0</v>
      </c>
      <c r="M1102" s="161">
        <f t="shared" si="287"/>
        <v>0</v>
      </c>
      <c r="N1102" s="161">
        <f t="shared" si="287"/>
        <v>0</v>
      </c>
      <c r="O1102" s="161">
        <f t="shared" si="287"/>
        <v>0</v>
      </c>
    </row>
    <row r="1103" spans="3:15" hidden="1" outlineLevel="2">
      <c r="C1103" s="73" t="str">
        <v>SpareOfferD14</v>
      </c>
      <c r="D1103" s="97" t="s">
        <v>189</v>
      </c>
      <c r="F1103" s="148">
        <f t="shared" si="274"/>
        <v>0</v>
      </c>
      <c r="G1103" s="161">
        <f t="shared" ref="G1103:O1103" si="288">G947*G153</f>
        <v>0</v>
      </c>
      <c r="H1103" s="161">
        <f t="shared" si="288"/>
        <v>0</v>
      </c>
      <c r="I1103" s="161">
        <f t="shared" si="288"/>
        <v>0</v>
      </c>
      <c r="J1103" s="161">
        <f t="shared" si="288"/>
        <v>0</v>
      </c>
      <c r="K1103" s="161">
        <f t="shared" si="288"/>
        <v>0</v>
      </c>
      <c r="L1103" s="161">
        <f t="shared" si="288"/>
        <v>0</v>
      </c>
      <c r="M1103" s="161">
        <f t="shared" si="288"/>
        <v>0</v>
      </c>
      <c r="N1103" s="161">
        <f t="shared" si="288"/>
        <v>0</v>
      </c>
      <c r="O1103" s="161">
        <f t="shared" si="288"/>
        <v>0</v>
      </c>
    </row>
    <row r="1104" spans="3:15" hidden="1" outlineLevel="2">
      <c r="C1104" s="73" t="str">
        <v>SpareOfferD15</v>
      </c>
      <c r="D1104" s="97" t="s">
        <v>189</v>
      </c>
      <c r="F1104" s="148">
        <f t="shared" si="274"/>
        <v>0</v>
      </c>
      <c r="G1104" s="161">
        <f t="shared" ref="G1104:O1104" si="289">G948*G154</f>
        <v>0</v>
      </c>
      <c r="H1104" s="161">
        <f t="shared" si="289"/>
        <v>0</v>
      </c>
      <c r="I1104" s="161">
        <f t="shared" si="289"/>
        <v>0</v>
      </c>
      <c r="J1104" s="161">
        <f t="shared" si="289"/>
        <v>0</v>
      </c>
      <c r="K1104" s="161">
        <f t="shared" si="289"/>
        <v>0</v>
      </c>
      <c r="L1104" s="161">
        <f t="shared" si="289"/>
        <v>0</v>
      </c>
      <c r="M1104" s="161">
        <f t="shared" si="289"/>
        <v>0</v>
      </c>
      <c r="N1104" s="161">
        <f t="shared" si="289"/>
        <v>0</v>
      </c>
      <c r="O1104" s="161">
        <f t="shared" si="289"/>
        <v>0</v>
      </c>
    </row>
    <row r="1105" spans="3:15" hidden="1" outlineLevel="2">
      <c r="C1105" s="73" t="str">
        <v>SpareOfferD16</v>
      </c>
      <c r="D1105" s="97" t="s">
        <v>189</v>
      </c>
      <c r="F1105" s="148">
        <f t="shared" si="274"/>
        <v>0</v>
      </c>
      <c r="G1105" s="161">
        <f t="shared" ref="G1105:O1105" si="290">G949*G155</f>
        <v>0</v>
      </c>
      <c r="H1105" s="161">
        <f t="shared" si="290"/>
        <v>0</v>
      </c>
      <c r="I1105" s="161">
        <f t="shared" si="290"/>
        <v>0</v>
      </c>
      <c r="J1105" s="161">
        <f t="shared" si="290"/>
        <v>0</v>
      </c>
      <c r="K1105" s="161">
        <f t="shared" si="290"/>
        <v>0</v>
      </c>
      <c r="L1105" s="161">
        <f t="shared" si="290"/>
        <v>0</v>
      </c>
      <c r="M1105" s="161">
        <f t="shared" si="290"/>
        <v>0</v>
      </c>
      <c r="N1105" s="161">
        <f t="shared" si="290"/>
        <v>0</v>
      </c>
      <c r="O1105" s="161">
        <f t="shared" si="290"/>
        <v>0</v>
      </c>
    </row>
    <row r="1106" spans="3:15" hidden="1" outlineLevel="2">
      <c r="C1106" s="73" t="str">
        <v>SpareOfferD17</v>
      </c>
      <c r="D1106" s="97" t="s">
        <v>189</v>
      </c>
      <c r="F1106" s="148">
        <f t="shared" si="274"/>
        <v>0</v>
      </c>
      <c r="G1106" s="161">
        <f t="shared" ref="G1106:O1106" si="291">G950*G156</f>
        <v>0</v>
      </c>
      <c r="H1106" s="161">
        <f t="shared" si="291"/>
        <v>0</v>
      </c>
      <c r="I1106" s="161">
        <f t="shared" si="291"/>
        <v>0</v>
      </c>
      <c r="J1106" s="161">
        <f t="shared" si="291"/>
        <v>0</v>
      </c>
      <c r="K1106" s="161">
        <f t="shared" si="291"/>
        <v>0</v>
      </c>
      <c r="L1106" s="161">
        <f t="shared" si="291"/>
        <v>0</v>
      </c>
      <c r="M1106" s="161">
        <f t="shared" si="291"/>
        <v>0</v>
      </c>
      <c r="N1106" s="161">
        <f t="shared" si="291"/>
        <v>0</v>
      </c>
      <c r="O1106" s="161">
        <f t="shared" si="291"/>
        <v>0</v>
      </c>
    </row>
    <row r="1107" spans="3:15" hidden="1" outlineLevel="2">
      <c r="C1107" s="73" t="str">
        <v>SpareOfferD18</v>
      </c>
      <c r="D1107" s="97" t="s">
        <v>189</v>
      </c>
      <c r="F1107" s="148">
        <f t="shared" si="274"/>
        <v>0</v>
      </c>
      <c r="G1107" s="161">
        <f t="shared" ref="G1107:O1107" si="292">G951*G157</f>
        <v>0</v>
      </c>
      <c r="H1107" s="161">
        <f t="shared" si="292"/>
        <v>0</v>
      </c>
      <c r="I1107" s="161">
        <f t="shared" si="292"/>
        <v>0</v>
      </c>
      <c r="J1107" s="161">
        <f t="shared" si="292"/>
        <v>0</v>
      </c>
      <c r="K1107" s="161">
        <f t="shared" si="292"/>
        <v>0</v>
      </c>
      <c r="L1107" s="161">
        <f t="shared" si="292"/>
        <v>0</v>
      </c>
      <c r="M1107" s="161">
        <f t="shared" si="292"/>
        <v>0</v>
      </c>
      <c r="N1107" s="161">
        <f t="shared" si="292"/>
        <v>0</v>
      </c>
      <c r="O1107" s="161">
        <f t="shared" si="292"/>
        <v>0</v>
      </c>
    </row>
    <row r="1108" spans="3:15" hidden="1" outlineLevel="2">
      <c r="C1108" s="73" t="str">
        <v>SpareOfferD19</v>
      </c>
      <c r="D1108" s="97" t="s">
        <v>189</v>
      </c>
      <c r="F1108" s="148">
        <f t="shared" si="274"/>
        <v>0</v>
      </c>
      <c r="G1108" s="161">
        <f t="shared" ref="G1108:O1108" si="293">G952*G158</f>
        <v>0</v>
      </c>
      <c r="H1108" s="161">
        <f t="shared" si="293"/>
        <v>0</v>
      </c>
      <c r="I1108" s="161">
        <f t="shared" si="293"/>
        <v>0</v>
      </c>
      <c r="J1108" s="161">
        <f t="shared" si="293"/>
        <v>0</v>
      </c>
      <c r="K1108" s="161">
        <f t="shared" si="293"/>
        <v>0</v>
      </c>
      <c r="L1108" s="161">
        <f t="shared" si="293"/>
        <v>0</v>
      </c>
      <c r="M1108" s="161">
        <f t="shared" si="293"/>
        <v>0</v>
      </c>
      <c r="N1108" s="161">
        <f t="shared" si="293"/>
        <v>0</v>
      </c>
      <c r="O1108" s="161">
        <f t="shared" si="293"/>
        <v>0</v>
      </c>
    </row>
    <row r="1109" spans="3:15" hidden="1" outlineLevel="2">
      <c r="C1109" s="73" t="str">
        <v>SpareOfferD20</v>
      </c>
      <c r="D1109" s="97" t="s">
        <v>189</v>
      </c>
      <c r="F1109" s="148">
        <f t="shared" si="274"/>
        <v>0</v>
      </c>
      <c r="G1109" s="161">
        <f t="shared" ref="G1109:O1109" si="294">G953*G159</f>
        <v>0</v>
      </c>
      <c r="H1109" s="161">
        <f t="shared" si="294"/>
        <v>0</v>
      </c>
      <c r="I1109" s="161">
        <f t="shared" si="294"/>
        <v>0</v>
      </c>
      <c r="J1109" s="161">
        <f t="shared" si="294"/>
        <v>0</v>
      </c>
      <c r="K1109" s="161">
        <f t="shared" si="294"/>
        <v>0</v>
      </c>
      <c r="L1109" s="161">
        <f t="shared" si="294"/>
        <v>0</v>
      </c>
      <c r="M1109" s="161">
        <f t="shared" si="294"/>
        <v>0</v>
      </c>
      <c r="N1109" s="161">
        <f t="shared" si="294"/>
        <v>0</v>
      </c>
      <c r="O1109" s="161">
        <f t="shared" si="294"/>
        <v>0</v>
      </c>
    </row>
    <row r="1110" spans="3:15" hidden="1" outlineLevel="2">
      <c r="C1110" s="73" t="str">
        <v>SpareOfferD21</v>
      </c>
      <c r="D1110" s="97" t="s">
        <v>189</v>
      </c>
      <c r="F1110" s="148">
        <f t="shared" si="274"/>
        <v>0</v>
      </c>
      <c r="G1110" s="161">
        <f t="shared" ref="G1110:O1110" si="295">G954*G160</f>
        <v>0</v>
      </c>
      <c r="H1110" s="161">
        <f t="shared" si="295"/>
        <v>0</v>
      </c>
      <c r="I1110" s="161">
        <f t="shared" si="295"/>
        <v>0</v>
      </c>
      <c r="J1110" s="161">
        <f t="shared" si="295"/>
        <v>0</v>
      </c>
      <c r="K1110" s="161">
        <f t="shared" si="295"/>
        <v>0</v>
      </c>
      <c r="L1110" s="161">
        <f t="shared" si="295"/>
        <v>0</v>
      </c>
      <c r="M1110" s="161">
        <f t="shared" si="295"/>
        <v>0</v>
      </c>
      <c r="N1110" s="161">
        <f t="shared" si="295"/>
        <v>0</v>
      </c>
      <c r="O1110" s="161">
        <f t="shared" si="295"/>
        <v>0</v>
      </c>
    </row>
    <row r="1111" spans="3:15" hidden="1" outlineLevel="2">
      <c r="C1111" s="73" t="str">
        <v>SpareOfferD22</v>
      </c>
      <c r="D1111" s="97" t="s">
        <v>189</v>
      </c>
      <c r="F1111" s="148">
        <f t="shared" si="274"/>
        <v>0</v>
      </c>
      <c r="G1111" s="161">
        <f t="shared" ref="G1111:O1111" si="296">G955*G161</f>
        <v>0</v>
      </c>
      <c r="H1111" s="161">
        <f t="shared" si="296"/>
        <v>0</v>
      </c>
      <c r="I1111" s="161">
        <f t="shared" si="296"/>
        <v>0</v>
      </c>
      <c r="J1111" s="161">
        <f t="shared" si="296"/>
        <v>0</v>
      </c>
      <c r="K1111" s="161">
        <f t="shared" si="296"/>
        <v>0</v>
      </c>
      <c r="L1111" s="161">
        <f t="shared" si="296"/>
        <v>0</v>
      </c>
      <c r="M1111" s="161">
        <f t="shared" si="296"/>
        <v>0</v>
      </c>
      <c r="N1111" s="161">
        <f t="shared" si="296"/>
        <v>0</v>
      </c>
      <c r="O1111" s="161">
        <f t="shared" si="296"/>
        <v>0</v>
      </c>
    </row>
    <row r="1112" spans="3:15" hidden="1" outlineLevel="2">
      <c r="C1112" s="73" t="str">
        <v>SpareOfferD23</v>
      </c>
      <c r="D1112" s="97" t="s">
        <v>189</v>
      </c>
      <c r="F1112" s="148">
        <f t="shared" si="274"/>
        <v>0</v>
      </c>
      <c r="G1112" s="161">
        <f t="shared" ref="G1112:O1112" si="297">G956*G162</f>
        <v>0</v>
      </c>
      <c r="H1112" s="161">
        <f t="shared" si="297"/>
        <v>0</v>
      </c>
      <c r="I1112" s="161">
        <f t="shared" si="297"/>
        <v>0</v>
      </c>
      <c r="J1112" s="161">
        <f t="shared" si="297"/>
        <v>0</v>
      </c>
      <c r="K1112" s="161">
        <f t="shared" si="297"/>
        <v>0</v>
      </c>
      <c r="L1112" s="161">
        <f t="shared" si="297"/>
        <v>0</v>
      </c>
      <c r="M1112" s="161">
        <f t="shared" si="297"/>
        <v>0</v>
      </c>
      <c r="N1112" s="161">
        <f t="shared" si="297"/>
        <v>0</v>
      </c>
      <c r="O1112" s="161">
        <f t="shared" si="297"/>
        <v>0</v>
      </c>
    </row>
    <row r="1113" spans="3:15" hidden="1" outlineLevel="2">
      <c r="C1113" s="73" t="str">
        <v>SpareOfferD24</v>
      </c>
      <c r="D1113" s="97" t="s">
        <v>189</v>
      </c>
      <c r="F1113" s="148">
        <f t="shared" si="274"/>
        <v>0</v>
      </c>
      <c r="G1113" s="161">
        <f t="shared" ref="G1113:O1113" si="298">G957*G163</f>
        <v>0</v>
      </c>
      <c r="H1113" s="161">
        <f t="shared" si="298"/>
        <v>0</v>
      </c>
      <c r="I1113" s="161">
        <f t="shared" si="298"/>
        <v>0</v>
      </c>
      <c r="J1113" s="161">
        <f t="shared" si="298"/>
        <v>0</v>
      </c>
      <c r="K1113" s="161">
        <f t="shared" si="298"/>
        <v>0</v>
      </c>
      <c r="L1113" s="161">
        <f t="shared" si="298"/>
        <v>0</v>
      </c>
      <c r="M1113" s="161">
        <f t="shared" si="298"/>
        <v>0</v>
      </c>
      <c r="N1113" s="161">
        <f t="shared" si="298"/>
        <v>0</v>
      </c>
      <c r="O1113" s="161">
        <f t="shared" si="298"/>
        <v>0</v>
      </c>
    </row>
    <row r="1114" spans="3:15" hidden="1" outlineLevel="2">
      <c r="C1114" s="73" t="str">
        <v>SpareOfferD25</v>
      </c>
      <c r="D1114" s="97" t="s">
        <v>189</v>
      </c>
      <c r="F1114" s="148">
        <f t="shared" si="274"/>
        <v>0</v>
      </c>
      <c r="G1114" s="161">
        <f t="shared" ref="G1114:O1114" si="299">G958*G164</f>
        <v>0</v>
      </c>
      <c r="H1114" s="161">
        <f t="shared" si="299"/>
        <v>0</v>
      </c>
      <c r="I1114" s="161">
        <f t="shared" si="299"/>
        <v>0</v>
      </c>
      <c r="J1114" s="161">
        <f t="shared" si="299"/>
        <v>0</v>
      </c>
      <c r="K1114" s="161">
        <f t="shared" si="299"/>
        <v>0</v>
      </c>
      <c r="L1114" s="161">
        <f t="shared" si="299"/>
        <v>0</v>
      </c>
      <c r="M1114" s="161">
        <f t="shared" si="299"/>
        <v>0</v>
      </c>
      <c r="N1114" s="161">
        <f t="shared" si="299"/>
        <v>0</v>
      </c>
      <c r="O1114" s="161">
        <f t="shared" si="299"/>
        <v>0</v>
      </c>
    </row>
    <row r="1115" spans="3:15" hidden="1" outlineLevel="2">
      <c r="C1115" s="73" t="str">
        <v>SpareOfferD26</v>
      </c>
      <c r="D1115" s="97" t="s">
        <v>189</v>
      </c>
      <c r="F1115" s="148">
        <f t="shared" si="274"/>
        <v>0</v>
      </c>
      <c r="G1115" s="161">
        <f t="shared" ref="G1115:O1115" si="300">G959*G165</f>
        <v>0</v>
      </c>
      <c r="H1115" s="161">
        <f t="shared" si="300"/>
        <v>0</v>
      </c>
      <c r="I1115" s="161">
        <f t="shared" si="300"/>
        <v>0</v>
      </c>
      <c r="J1115" s="161">
        <f t="shared" si="300"/>
        <v>0</v>
      </c>
      <c r="K1115" s="161">
        <f t="shared" si="300"/>
        <v>0</v>
      </c>
      <c r="L1115" s="161">
        <f t="shared" si="300"/>
        <v>0</v>
      </c>
      <c r="M1115" s="161">
        <f t="shared" si="300"/>
        <v>0</v>
      </c>
      <c r="N1115" s="161">
        <f t="shared" si="300"/>
        <v>0</v>
      </c>
      <c r="O1115" s="161">
        <f t="shared" si="300"/>
        <v>0</v>
      </c>
    </row>
    <row r="1116" spans="3:15" hidden="1" outlineLevel="2">
      <c r="C1116" s="73" t="str">
        <v>SpareOfferD27</v>
      </c>
      <c r="D1116" s="97" t="s">
        <v>189</v>
      </c>
      <c r="F1116" s="148">
        <f t="shared" si="274"/>
        <v>0</v>
      </c>
      <c r="G1116" s="161">
        <f t="shared" ref="G1116:O1116" si="301">G960*G166</f>
        <v>0</v>
      </c>
      <c r="H1116" s="161">
        <f t="shared" si="301"/>
        <v>0</v>
      </c>
      <c r="I1116" s="161">
        <f t="shared" si="301"/>
        <v>0</v>
      </c>
      <c r="J1116" s="161">
        <f t="shared" si="301"/>
        <v>0</v>
      </c>
      <c r="K1116" s="161">
        <f t="shared" si="301"/>
        <v>0</v>
      </c>
      <c r="L1116" s="161">
        <f t="shared" si="301"/>
        <v>0</v>
      </c>
      <c r="M1116" s="161">
        <f t="shared" si="301"/>
        <v>0</v>
      </c>
      <c r="N1116" s="161">
        <f t="shared" si="301"/>
        <v>0</v>
      </c>
      <c r="O1116" s="161">
        <f t="shared" si="301"/>
        <v>0</v>
      </c>
    </row>
    <row r="1117" spans="3:15" hidden="1" outlineLevel="2">
      <c r="C1117" s="73" t="str">
        <v>SpareOfferD28</v>
      </c>
      <c r="D1117" s="97" t="s">
        <v>189</v>
      </c>
      <c r="F1117" s="148">
        <f t="shared" si="274"/>
        <v>0</v>
      </c>
      <c r="G1117" s="161">
        <f t="shared" ref="G1117:O1117" si="302">G961*G167</f>
        <v>0</v>
      </c>
      <c r="H1117" s="161">
        <f t="shared" si="302"/>
        <v>0</v>
      </c>
      <c r="I1117" s="161">
        <f t="shared" si="302"/>
        <v>0</v>
      </c>
      <c r="J1117" s="161">
        <f t="shared" si="302"/>
        <v>0</v>
      </c>
      <c r="K1117" s="161">
        <f t="shared" si="302"/>
        <v>0</v>
      </c>
      <c r="L1117" s="161">
        <f t="shared" si="302"/>
        <v>0</v>
      </c>
      <c r="M1117" s="161">
        <f t="shared" si="302"/>
        <v>0</v>
      </c>
      <c r="N1117" s="161">
        <f t="shared" si="302"/>
        <v>0</v>
      </c>
      <c r="O1117" s="161">
        <f t="shared" si="302"/>
        <v>0</v>
      </c>
    </row>
    <row r="1118" spans="3:15" hidden="1" outlineLevel="2">
      <c r="C1118" s="73" t="str">
        <v>SpareOfferD29</v>
      </c>
      <c r="D1118" s="97" t="s">
        <v>189</v>
      </c>
      <c r="F1118" s="148">
        <f t="shared" si="274"/>
        <v>0</v>
      </c>
      <c r="G1118" s="161">
        <f t="shared" ref="G1118:O1118" si="303">G962*G168</f>
        <v>0</v>
      </c>
      <c r="H1118" s="161">
        <f t="shared" si="303"/>
        <v>0</v>
      </c>
      <c r="I1118" s="161">
        <f t="shared" si="303"/>
        <v>0</v>
      </c>
      <c r="J1118" s="161">
        <f t="shared" si="303"/>
        <v>0</v>
      </c>
      <c r="K1118" s="161">
        <f t="shared" si="303"/>
        <v>0</v>
      </c>
      <c r="L1118" s="161">
        <f t="shared" si="303"/>
        <v>0</v>
      </c>
      <c r="M1118" s="161">
        <f t="shared" si="303"/>
        <v>0</v>
      </c>
      <c r="N1118" s="161">
        <f t="shared" si="303"/>
        <v>0</v>
      </c>
      <c r="O1118" s="161">
        <f t="shared" si="303"/>
        <v>0</v>
      </c>
    </row>
    <row r="1119" spans="3:15" hidden="1" outlineLevel="2">
      <c r="C1119" s="73" t="str">
        <v>SpareOfferD30</v>
      </c>
      <c r="D1119" s="97" t="s">
        <v>189</v>
      </c>
      <c r="F1119" s="148">
        <f t="shared" si="274"/>
        <v>0</v>
      </c>
      <c r="G1119" s="161">
        <f t="shared" ref="G1119:O1119" si="304">G963*G169</f>
        <v>0</v>
      </c>
      <c r="H1119" s="161">
        <f t="shared" si="304"/>
        <v>0</v>
      </c>
      <c r="I1119" s="161">
        <f t="shared" si="304"/>
        <v>0</v>
      </c>
      <c r="J1119" s="161">
        <f t="shared" si="304"/>
        <v>0</v>
      </c>
      <c r="K1119" s="161">
        <f t="shared" si="304"/>
        <v>0</v>
      </c>
      <c r="L1119" s="161">
        <f t="shared" si="304"/>
        <v>0</v>
      </c>
      <c r="M1119" s="161">
        <f t="shared" si="304"/>
        <v>0</v>
      </c>
      <c r="N1119" s="161">
        <f t="shared" si="304"/>
        <v>0</v>
      </c>
      <c r="O1119" s="161">
        <f t="shared" si="304"/>
        <v>0</v>
      </c>
    </row>
    <row r="1120" spans="3:15" hidden="1" outlineLevel="2">
      <c r="C1120" s="73" t="str">
        <v>SpareOfferD31</v>
      </c>
      <c r="D1120" s="97" t="s">
        <v>189</v>
      </c>
      <c r="F1120" s="148">
        <f t="shared" si="274"/>
        <v>0</v>
      </c>
      <c r="G1120" s="161">
        <f t="shared" ref="G1120:O1120" si="305">G964*G170</f>
        <v>0</v>
      </c>
      <c r="H1120" s="161">
        <f t="shared" si="305"/>
        <v>0</v>
      </c>
      <c r="I1120" s="161">
        <f t="shared" si="305"/>
        <v>0</v>
      </c>
      <c r="J1120" s="161">
        <f t="shared" si="305"/>
        <v>0</v>
      </c>
      <c r="K1120" s="161">
        <f t="shared" si="305"/>
        <v>0</v>
      </c>
      <c r="L1120" s="161">
        <f t="shared" si="305"/>
        <v>0</v>
      </c>
      <c r="M1120" s="161">
        <f t="shared" si="305"/>
        <v>0</v>
      </c>
      <c r="N1120" s="161">
        <f t="shared" si="305"/>
        <v>0</v>
      </c>
      <c r="O1120" s="161">
        <f t="shared" si="305"/>
        <v>0</v>
      </c>
    </row>
    <row r="1121" spans="3:15" hidden="1" outlineLevel="2">
      <c r="C1121" s="73" t="str">
        <v>SpareOfferD32</v>
      </c>
      <c r="D1121" s="97" t="s">
        <v>189</v>
      </c>
      <c r="F1121" s="148">
        <f t="shared" si="274"/>
        <v>0</v>
      </c>
      <c r="G1121" s="161">
        <f t="shared" ref="G1121:O1121" si="306">G965*G171</f>
        <v>0</v>
      </c>
      <c r="H1121" s="161">
        <f t="shared" si="306"/>
        <v>0</v>
      </c>
      <c r="I1121" s="161">
        <f t="shared" si="306"/>
        <v>0</v>
      </c>
      <c r="J1121" s="161">
        <f t="shared" si="306"/>
        <v>0</v>
      </c>
      <c r="K1121" s="161">
        <f t="shared" si="306"/>
        <v>0</v>
      </c>
      <c r="L1121" s="161">
        <f t="shared" si="306"/>
        <v>0</v>
      </c>
      <c r="M1121" s="161">
        <f t="shared" si="306"/>
        <v>0</v>
      </c>
      <c r="N1121" s="161">
        <f t="shared" si="306"/>
        <v>0</v>
      </c>
      <c r="O1121" s="161">
        <f t="shared" si="306"/>
        <v>0</v>
      </c>
    </row>
    <row r="1122" spans="3:15" hidden="1" outlineLevel="2">
      <c r="C1122" s="73" t="str">
        <v>SpareOfferD33</v>
      </c>
      <c r="D1122" s="97" t="s">
        <v>189</v>
      </c>
      <c r="F1122" s="148">
        <f t="shared" si="274"/>
        <v>0</v>
      </c>
      <c r="G1122" s="161">
        <f t="shared" ref="G1122:O1122" si="307">G966*G172</f>
        <v>0</v>
      </c>
      <c r="H1122" s="161">
        <f t="shared" si="307"/>
        <v>0</v>
      </c>
      <c r="I1122" s="161">
        <f t="shared" si="307"/>
        <v>0</v>
      </c>
      <c r="J1122" s="161">
        <f t="shared" si="307"/>
        <v>0</v>
      </c>
      <c r="K1122" s="161">
        <f t="shared" si="307"/>
        <v>0</v>
      </c>
      <c r="L1122" s="161">
        <f t="shared" si="307"/>
        <v>0</v>
      </c>
      <c r="M1122" s="161">
        <f t="shared" si="307"/>
        <v>0</v>
      </c>
      <c r="N1122" s="161">
        <f t="shared" si="307"/>
        <v>0</v>
      </c>
      <c r="O1122" s="161">
        <f t="shared" si="307"/>
        <v>0</v>
      </c>
    </row>
    <row r="1123" spans="3:15" hidden="1" outlineLevel="2">
      <c r="C1123" s="73" t="str">
        <v>SpareOfferD34</v>
      </c>
      <c r="D1123" s="97" t="s">
        <v>189</v>
      </c>
      <c r="F1123" s="148">
        <f t="shared" si="274"/>
        <v>0</v>
      </c>
      <c r="G1123" s="161">
        <f t="shared" ref="G1123:O1123" si="308">G967*G173</f>
        <v>0</v>
      </c>
      <c r="H1123" s="161">
        <f t="shared" si="308"/>
        <v>0</v>
      </c>
      <c r="I1123" s="161">
        <f t="shared" si="308"/>
        <v>0</v>
      </c>
      <c r="J1123" s="161">
        <f t="shared" si="308"/>
        <v>0</v>
      </c>
      <c r="K1123" s="161">
        <f t="shared" si="308"/>
        <v>0</v>
      </c>
      <c r="L1123" s="161">
        <f t="shared" si="308"/>
        <v>0</v>
      </c>
      <c r="M1123" s="161">
        <f t="shared" si="308"/>
        <v>0</v>
      </c>
      <c r="N1123" s="161">
        <f t="shared" si="308"/>
        <v>0</v>
      </c>
      <c r="O1123" s="161">
        <f t="shared" si="308"/>
        <v>0</v>
      </c>
    </row>
    <row r="1124" spans="3:15" outlineLevel="1" collapsed="1">
      <c r="C1124" s="73" t="str">
        <v>-</v>
      </c>
      <c r="D1124" s="97" t="s">
        <v>189</v>
      </c>
      <c r="F1124" s="148">
        <f t="shared" si="274"/>
        <v>0</v>
      </c>
      <c r="G1124" s="161">
        <f t="shared" ref="G1124:O1124" si="309">G968*G174</f>
        <v>0</v>
      </c>
      <c r="H1124" s="161">
        <f t="shared" si="309"/>
        <v>0</v>
      </c>
      <c r="I1124" s="161">
        <f t="shared" si="309"/>
        <v>0</v>
      </c>
      <c r="J1124" s="161">
        <f t="shared" si="309"/>
        <v>0</v>
      </c>
      <c r="K1124" s="161">
        <f t="shared" si="309"/>
        <v>0</v>
      </c>
      <c r="L1124" s="161">
        <f t="shared" si="309"/>
        <v>0</v>
      </c>
      <c r="M1124" s="161">
        <f t="shared" si="309"/>
        <v>0</v>
      </c>
      <c r="N1124" s="161">
        <f t="shared" si="309"/>
        <v>0</v>
      </c>
      <c r="O1124" s="161">
        <f t="shared" si="309"/>
        <v>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pageSetUpPr autoPageBreaks="0"/>
  </sheetPr>
  <dimension ref="A1:P1024"/>
  <sheetViews>
    <sheetView showGridLines="0" defaultGridColor="0" colorId="22" zoomScaleNormal="100" workbookViewId="0">
      <pane xSplit="4" ySplit="1" topLeftCell="E2" activePane="bottomRight" state="frozen"/>
      <selection activeCell="R42" sqref="R42"/>
      <selection pane="topRight" activeCell="R42" sqref="R42"/>
      <selection pane="bottomLeft" activeCell="R42" sqref="R42"/>
      <selection pane="bottomRight"/>
    </sheetView>
  </sheetViews>
  <sheetFormatPr baseColWidth="10" defaultColWidth="12.69921875" defaultRowHeight="11.5" outlineLevelRow="2"/>
  <cols>
    <col min="1" max="1" width="6.69921875" customWidth="1"/>
    <col min="2" max="2" width="6.19921875" customWidth="1"/>
    <col min="3" max="3" width="17.19921875" customWidth="1"/>
    <col min="4" max="4" width="23.3984375" customWidth="1"/>
    <col min="5" max="5" width="3.69921875" customWidth="1"/>
    <col min="7" max="7" width="3.8984375" customWidth="1"/>
    <col min="8" max="8" width="14" customWidth="1"/>
    <col min="21" max="21" width="19.09765625" bestFit="1" customWidth="1"/>
  </cols>
  <sheetData>
    <row r="1" spans="1:14" s="84" customFormat="1" ht="33.75" customHeight="1">
      <c r="D1" s="84" t="s">
        <v>219</v>
      </c>
    </row>
    <row r="3" spans="1:14" ht="15.5">
      <c r="A3" s="36" t="s">
        <v>7</v>
      </c>
    </row>
    <row r="4" spans="1:14" ht="12">
      <c r="C4" s="91" t="s">
        <v>333</v>
      </c>
      <c r="D4" t="s">
        <v>218</v>
      </c>
      <c r="F4" s="154">
        <f t="array" ref="F4">SUMPRODUCT(F5:F8, segment.split)</f>
        <v>0</v>
      </c>
      <c r="G4" s="43" t="s">
        <v>336</v>
      </c>
    </row>
    <row r="5" spans="1:14" ht="12">
      <c r="C5" s="208" t="str">
        <f t="array" ref="C5:C8">segments</f>
        <v>Residential</v>
      </c>
      <c r="D5" t="s">
        <v>218</v>
      </c>
      <c r="F5" s="113">
        <f>F59+F395+F689</f>
        <v>0</v>
      </c>
      <c r="G5" s="43" t="s">
        <v>239</v>
      </c>
    </row>
    <row r="6" spans="1:14" ht="12">
      <c r="C6" s="208" t="str">
        <v>Business</v>
      </c>
      <c r="D6" t="s">
        <v>218</v>
      </c>
      <c r="F6" s="113">
        <f>F143+F477+F735</f>
        <v>0</v>
      </c>
      <c r="G6" s="43" t="s">
        <v>240</v>
      </c>
    </row>
    <row r="7" spans="1:14" ht="12">
      <c r="C7" s="208" t="str">
        <v>SpareSegmentC</v>
      </c>
      <c r="D7" t="s">
        <v>218</v>
      </c>
      <c r="F7" s="113">
        <f>F227+F559+F781</f>
        <v>0</v>
      </c>
      <c r="G7" s="43" t="s">
        <v>241</v>
      </c>
    </row>
    <row r="8" spans="1:14" ht="12">
      <c r="C8" s="208" t="str">
        <v>SpareSegmentD</v>
      </c>
      <c r="D8" t="s">
        <v>218</v>
      </c>
      <c r="F8" s="113">
        <f>F311+F641+F827</f>
        <v>0</v>
      </c>
      <c r="G8" s="43" t="s">
        <v>242</v>
      </c>
    </row>
    <row r="10" spans="1:14" ht="15.5">
      <c r="A10" s="36" t="s">
        <v>229</v>
      </c>
    </row>
    <row r="12" spans="1:14" s="220" customFormat="1">
      <c r="A12" s="220">
        <v>1</v>
      </c>
      <c r="B12" s="221" t="str">
        <f>INDEX(segments,A12)</f>
        <v>Residential</v>
      </c>
      <c r="C12" s="207"/>
    </row>
    <row r="13" spans="1:14" outlineLevel="1"/>
    <row r="14" spans="1:14" outlineLevel="1">
      <c r="B14" s="91" t="s">
        <v>193</v>
      </c>
      <c r="H14" s="119" t="s">
        <v>300</v>
      </c>
      <c r="I14" s="119"/>
      <c r="J14" s="119"/>
      <c r="L14" s="119" t="s">
        <v>299</v>
      </c>
      <c r="M14" s="119"/>
      <c r="N14" s="119"/>
    </row>
    <row r="15" spans="1:14" ht="23.25" customHeight="1" outlineLevel="1">
      <c r="H15" s="1" t="str">
        <f t="array" ref="H15:J15">TRANSPOSE(destination.IC)</f>
        <v>Off-net fixed</v>
      </c>
      <c r="I15" s="1" t="str">
        <v>Off-net mobile</v>
      </c>
      <c r="J15" s="1" t="str">
        <v>International</v>
      </c>
      <c r="L15" s="1" t="str">
        <f t="array" ref="L15:N15">TRANSPOSE(destination.IC)</f>
        <v>Off-net fixed</v>
      </c>
      <c r="M15" s="1" t="str">
        <v>Off-net mobile</v>
      </c>
      <c r="N15" s="1" t="str">
        <v>International</v>
      </c>
    </row>
    <row r="16" spans="1:14" outlineLevel="1">
      <c r="C16" t="s">
        <v>193</v>
      </c>
      <c r="D16" t="s">
        <v>282</v>
      </c>
      <c r="H16" s="241">
        <f t="array" ref="H16:J16">Out.term.voice</f>
        <v>0</v>
      </c>
      <c r="I16" s="241">
        <v>0</v>
      </c>
      <c r="J16" s="241">
        <v>0</v>
      </c>
      <c r="L16" s="241">
        <f t="array" ref="L16:N16">Out.term.SMS</f>
        <v>0</v>
      </c>
      <c r="M16" s="241">
        <v>0</v>
      </c>
      <c r="N16" s="241">
        <v>0</v>
      </c>
    </row>
    <row r="17" spans="2:14" outlineLevel="1"/>
    <row r="18" spans="2:14" ht="23" outlineLevel="1">
      <c r="B18" s="91" t="s">
        <v>194</v>
      </c>
      <c r="F18" s="119" t="s">
        <v>223</v>
      </c>
      <c r="H18" s="119" t="s">
        <v>300</v>
      </c>
      <c r="I18" s="119"/>
      <c r="J18" s="119"/>
      <c r="L18" s="119" t="s">
        <v>299</v>
      </c>
      <c r="M18" s="119"/>
      <c r="N18" s="119"/>
    </row>
    <row r="19" spans="2:14" ht="23" outlineLevel="1">
      <c r="F19" s="119"/>
      <c r="H19" s="1" t="str">
        <f t="array" ref="H19:J19">TRANSPOSE(destination.IC)</f>
        <v>Off-net fixed</v>
      </c>
      <c r="I19" s="1" t="str">
        <v>Off-net mobile</v>
      </c>
      <c r="J19" s="1" t="str">
        <v>International</v>
      </c>
      <c r="L19" s="1" t="str">
        <f t="array" ref="L19:N19">TRANSPOSE(destination.IC)</f>
        <v>Off-net fixed</v>
      </c>
      <c r="M19" s="1" t="str">
        <v>Off-net mobile</v>
      </c>
      <c r="N19" s="1" t="str">
        <v>International</v>
      </c>
    </row>
    <row r="20" spans="2:14" outlineLevel="1">
      <c r="C20" s="91" t="s">
        <v>222</v>
      </c>
      <c r="D20" t="s">
        <v>174</v>
      </c>
      <c r="H20" s="94">
        <f>SUMPRODUCT(H21:H55,$F21:$F55)</f>
        <v>0</v>
      </c>
      <c r="I20" s="94">
        <f t="shared" ref="I20:J20" si="0">SUMPRODUCT(I21:I55,$F21:$F55)</f>
        <v>0</v>
      </c>
      <c r="J20" s="94">
        <f t="shared" si="0"/>
        <v>0</v>
      </c>
      <c r="L20" s="94">
        <f t="shared" ref="L20:N20" si="1">SUMPRODUCT(L21:L55,$F21:$F55)</f>
        <v>0</v>
      </c>
      <c r="M20" s="94">
        <f t="shared" si="1"/>
        <v>0</v>
      </c>
      <c r="N20" s="94">
        <f t="shared" si="1"/>
        <v>0</v>
      </c>
    </row>
    <row r="21" spans="2:14" outlineLevel="1">
      <c r="C21" s="73" t="str">
        <f t="array" ref="C21:C55">offers.segment.1</f>
        <v>SpareOfferA1</v>
      </c>
      <c r="D21" t="s">
        <v>174</v>
      </c>
      <c r="F21" s="87">
        <f t="array" ref="F21:F55">subscription.split.segment.1</f>
        <v>0</v>
      </c>
      <c r="H21" s="240">
        <f t="array" ref="H21:J55">out.IC.min.per.month.segment.1</f>
        <v>0</v>
      </c>
      <c r="I21" s="240">
        <v>0</v>
      </c>
      <c r="J21" s="240">
        <v>0</v>
      </c>
      <c r="K21" s="178"/>
      <c r="L21" s="240">
        <f t="array" ref="L21:N55">out.IC.SMS.per.month.segment.1</f>
        <v>0</v>
      </c>
      <c r="M21" s="240">
        <v>0</v>
      </c>
      <c r="N21" s="240">
        <v>0</v>
      </c>
    </row>
    <row r="22" spans="2:14" hidden="1" outlineLevel="2">
      <c r="C22" s="73" t="str">
        <v>SpareOfferA2</v>
      </c>
      <c r="D22" t="s">
        <v>174</v>
      </c>
      <c r="F22" s="87">
        <v>0</v>
      </c>
      <c r="H22" s="240">
        <v>0</v>
      </c>
      <c r="I22" s="240">
        <v>0</v>
      </c>
      <c r="J22" s="240">
        <v>0</v>
      </c>
      <c r="K22" s="178"/>
      <c r="L22" s="240">
        <v>0</v>
      </c>
      <c r="M22" s="240">
        <v>0</v>
      </c>
      <c r="N22" s="240">
        <v>0</v>
      </c>
    </row>
    <row r="23" spans="2:14" hidden="1" outlineLevel="2">
      <c r="C23" s="73" t="str">
        <v>SpareOfferA3</v>
      </c>
      <c r="D23" t="s">
        <v>174</v>
      </c>
      <c r="F23" s="87">
        <v>0</v>
      </c>
      <c r="H23" s="240">
        <v>0</v>
      </c>
      <c r="I23" s="240">
        <v>0</v>
      </c>
      <c r="J23" s="240">
        <v>0</v>
      </c>
      <c r="K23" s="178"/>
      <c r="L23" s="240">
        <v>0</v>
      </c>
      <c r="M23" s="240">
        <v>0</v>
      </c>
      <c r="N23" s="240">
        <v>0</v>
      </c>
    </row>
    <row r="24" spans="2:14" hidden="1" outlineLevel="2">
      <c r="C24" s="73" t="str">
        <v>SpareOfferA4</v>
      </c>
      <c r="D24" t="s">
        <v>174</v>
      </c>
      <c r="F24" s="87">
        <v>0</v>
      </c>
      <c r="H24" s="240">
        <v>0</v>
      </c>
      <c r="I24" s="240">
        <v>0</v>
      </c>
      <c r="J24" s="240">
        <v>0</v>
      </c>
      <c r="K24" s="178"/>
      <c r="L24" s="240">
        <v>0</v>
      </c>
      <c r="M24" s="240">
        <v>0</v>
      </c>
      <c r="N24" s="240">
        <v>0</v>
      </c>
    </row>
    <row r="25" spans="2:14" hidden="1" outlineLevel="2">
      <c r="C25" s="73" t="str">
        <v>SpareOfferA5</v>
      </c>
      <c r="D25" t="s">
        <v>174</v>
      </c>
      <c r="F25" s="87">
        <v>0</v>
      </c>
      <c r="H25" s="240">
        <v>0</v>
      </c>
      <c r="I25" s="240">
        <v>0</v>
      </c>
      <c r="J25" s="240">
        <v>0</v>
      </c>
      <c r="K25" s="178"/>
      <c r="L25" s="240">
        <v>0</v>
      </c>
      <c r="M25" s="240">
        <v>0</v>
      </c>
      <c r="N25" s="240">
        <v>0</v>
      </c>
    </row>
    <row r="26" spans="2:14" hidden="1" outlineLevel="2">
      <c r="C26" s="73" t="str">
        <v>SpareOfferA6</v>
      </c>
      <c r="D26" t="s">
        <v>174</v>
      </c>
      <c r="F26" s="87">
        <v>0</v>
      </c>
      <c r="H26" s="240">
        <v>0</v>
      </c>
      <c r="I26" s="240">
        <v>0</v>
      </c>
      <c r="J26" s="240">
        <v>0</v>
      </c>
      <c r="K26" s="178"/>
      <c r="L26" s="240">
        <v>0</v>
      </c>
      <c r="M26" s="240">
        <v>0</v>
      </c>
      <c r="N26" s="240">
        <v>0</v>
      </c>
    </row>
    <row r="27" spans="2:14" hidden="1" outlineLevel="2">
      <c r="C27" s="73" t="str">
        <v>SpareOfferA7</v>
      </c>
      <c r="D27" t="s">
        <v>174</v>
      </c>
      <c r="F27" s="87">
        <v>0</v>
      </c>
      <c r="H27" s="240">
        <v>0</v>
      </c>
      <c r="I27" s="240">
        <v>0</v>
      </c>
      <c r="J27" s="240">
        <v>0</v>
      </c>
      <c r="K27" s="178"/>
      <c r="L27" s="240">
        <v>0</v>
      </c>
      <c r="M27" s="240">
        <v>0</v>
      </c>
      <c r="N27" s="240">
        <v>0</v>
      </c>
    </row>
    <row r="28" spans="2:14" hidden="1" outlineLevel="2">
      <c r="C28" s="73" t="str">
        <v>SpareOfferA8</v>
      </c>
      <c r="D28" t="s">
        <v>174</v>
      </c>
      <c r="F28" s="87">
        <v>0</v>
      </c>
      <c r="H28" s="240">
        <v>0</v>
      </c>
      <c r="I28" s="240">
        <v>0</v>
      </c>
      <c r="J28" s="240">
        <v>0</v>
      </c>
      <c r="K28" s="178"/>
      <c r="L28" s="240">
        <v>0</v>
      </c>
      <c r="M28" s="240">
        <v>0</v>
      </c>
      <c r="N28" s="240">
        <v>0</v>
      </c>
    </row>
    <row r="29" spans="2:14" hidden="1" outlineLevel="2">
      <c r="C29" s="73" t="str">
        <v>SpareOfferA9</v>
      </c>
      <c r="D29" t="s">
        <v>174</v>
      </c>
      <c r="F29" s="87">
        <v>0</v>
      </c>
      <c r="H29" s="240">
        <v>0</v>
      </c>
      <c r="I29" s="240">
        <v>0</v>
      </c>
      <c r="J29" s="240">
        <v>0</v>
      </c>
      <c r="K29" s="178"/>
      <c r="L29" s="240">
        <v>0</v>
      </c>
      <c r="M29" s="240">
        <v>0</v>
      </c>
      <c r="N29" s="240">
        <v>0</v>
      </c>
    </row>
    <row r="30" spans="2:14" hidden="1" outlineLevel="2">
      <c r="C30" s="73" t="str">
        <v>SpareOfferA10</v>
      </c>
      <c r="D30" t="s">
        <v>174</v>
      </c>
      <c r="F30" s="87">
        <v>0</v>
      </c>
      <c r="H30" s="240">
        <v>0</v>
      </c>
      <c r="I30" s="240">
        <v>0</v>
      </c>
      <c r="J30" s="240">
        <v>0</v>
      </c>
      <c r="K30" s="178"/>
      <c r="L30" s="240">
        <v>0</v>
      </c>
      <c r="M30" s="240">
        <v>0</v>
      </c>
      <c r="N30" s="240">
        <v>0</v>
      </c>
    </row>
    <row r="31" spans="2:14" hidden="1" outlineLevel="2">
      <c r="C31" s="73" t="str">
        <v>SpareOfferA11</v>
      </c>
      <c r="D31" t="s">
        <v>174</v>
      </c>
      <c r="F31" s="87">
        <v>0</v>
      </c>
      <c r="H31" s="240">
        <v>0</v>
      </c>
      <c r="I31" s="240">
        <v>0</v>
      </c>
      <c r="J31" s="240">
        <v>0</v>
      </c>
      <c r="K31" s="178"/>
      <c r="L31" s="240">
        <v>0</v>
      </c>
      <c r="M31" s="240">
        <v>0</v>
      </c>
      <c r="N31" s="240">
        <v>0</v>
      </c>
    </row>
    <row r="32" spans="2:14" hidden="1" outlineLevel="2">
      <c r="C32" s="73" t="str">
        <v>SpareOfferA12</v>
      </c>
      <c r="D32" t="s">
        <v>174</v>
      </c>
      <c r="F32" s="87">
        <v>0</v>
      </c>
      <c r="H32" s="240">
        <v>0</v>
      </c>
      <c r="I32" s="240">
        <v>0</v>
      </c>
      <c r="J32" s="240">
        <v>0</v>
      </c>
      <c r="K32" s="178"/>
      <c r="L32" s="240">
        <v>0</v>
      </c>
      <c r="M32" s="240">
        <v>0</v>
      </c>
      <c r="N32" s="240">
        <v>0</v>
      </c>
    </row>
    <row r="33" spans="3:14" hidden="1" outlineLevel="2">
      <c r="C33" s="73" t="str">
        <v>SpareOfferA13</v>
      </c>
      <c r="D33" t="s">
        <v>174</v>
      </c>
      <c r="F33" s="87">
        <v>0</v>
      </c>
      <c r="H33" s="240">
        <v>0</v>
      </c>
      <c r="I33" s="240">
        <v>0</v>
      </c>
      <c r="J33" s="240">
        <v>0</v>
      </c>
      <c r="K33" s="178"/>
      <c r="L33" s="240">
        <v>0</v>
      </c>
      <c r="M33" s="240">
        <v>0</v>
      </c>
      <c r="N33" s="240">
        <v>0</v>
      </c>
    </row>
    <row r="34" spans="3:14" hidden="1" outlineLevel="2">
      <c r="C34" s="73" t="str">
        <v>SpareOfferA14</v>
      </c>
      <c r="D34" t="s">
        <v>174</v>
      </c>
      <c r="F34" s="87">
        <v>0</v>
      </c>
      <c r="H34" s="240">
        <v>0</v>
      </c>
      <c r="I34" s="240">
        <v>0</v>
      </c>
      <c r="J34" s="240">
        <v>0</v>
      </c>
      <c r="K34" s="178"/>
      <c r="L34" s="240">
        <v>0</v>
      </c>
      <c r="M34" s="240">
        <v>0</v>
      </c>
      <c r="N34" s="240">
        <v>0</v>
      </c>
    </row>
    <row r="35" spans="3:14" hidden="1" outlineLevel="2">
      <c r="C35" s="73" t="str">
        <v>SpareOfferA15</v>
      </c>
      <c r="D35" t="s">
        <v>174</v>
      </c>
      <c r="F35" s="87">
        <v>0</v>
      </c>
      <c r="H35" s="240">
        <v>0</v>
      </c>
      <c r="I35" s="240">
        <v>0</v>
      </c>
      <c r="J35" s="240">
        <v>0</v>
      </c>
      <c r="K35" s="178"/>
      <c r="L35" s="240">
        <v>0</v>
      </c>
      <c r="M35" s="240">
        <v>0</v>
      </c>
      <c r="N35" s="240">
        <v>0</v>
      </c>
    </row>
    <row r="36" spans="3:14" hidden="1" outlineLevel="2">
      <c r="C36" s="73" t="str">
        <v>SpareOfferA16</v>
      </c>
      <c r="D36" t="s">
        <v>174</v>
      </c>
      <c r="F36" s="87">
        <v>0</v>
      </c>
      <c r="H36" s="240">
        <v>0</v>
      </c>
      <c r="I36" s="240">
        <v>0</v>
      </c>
      <c r="J36" s="240">
        <v>0</v>
      </c>
      <c r="K36" s="178"/>
      <c r="L36" s="240">
        <v>0</v>
      </c>
      <c r="M36" s="240">
        <v>0</v>
      </c>
      <c r="N36" s="240">
        <v>0</v>
      </c>
    </row>
    <row r="37" spans="3:14" hidden="1" outlineLevel="2">
      <c r="C37" s="73" t="str">
        <v>SpareOfferA17</v>
      </c>
      <c r="D37" t="s">
        <v>174</v>
      </c>
      <c r="F37" s="87">
        <v>0</v>
      </c>
      <c r="H37" s="240">
        <v>0</v>
      </c>
      <c r="I37" s="240">
        <v>0</v>
      </c>
      <c r="J37" s="240">
        <v>0</v>
      </c>
      <c r="K37" s="178"/>
      <c r="L37" s="240">
        <v>0</v>
      </c>
      <c r="M37" s="240">
        <v>0</v>
      </c>
      <c r="N37" s="240">
        <v>0</v>
      </c>
    </row>
    <row r="38" spans="3:14" hidden="1" outlineLevel="2">
      <c r="C38" s="73" t="str">
        <v>SpareOfferA18</v>
      </c>
      <c r="D38" t="s">
        <v>174</v>
      </c>
      <c r="F38" s="87">
        <v>0</v>
      </c>
      <c r="H38" s="240">
        <v>0</v>
      </c>
      <c r="I38" s="240">
        <v>0</v>
      </c>
      <c r="J38" s="240">
        <v>0</v>
      </c>
      <c r="K38" s="178"/>
      <c r="L38" s="240">
        <v>0</v>
      </c>
      <c r="M38" s="240">
        <v>0</v>
      </c>
      <c r="N38" s="240">
        <v>0</v>
      </c>
    </row>
    <row r="39" spans="3:14" hidden="1" outlineLevel="2">
      <c r="C39" s="73" t="str">
        <v>SpareOfferA19</v>
      </c>
      <c r="D39" t="s">
        <v>174</v>
      </c>
      <c r="F39" s="87">
        <v>0</v>
      </c>
      <c r="H39" s="240">
        <v>0</v>
      </c>
      <c r="I39" s="240">
        <v>0</v>
      </c>
      <c r="J39" s="240">
        <v>0</v>
      </c>
      <c r="K39" s="178"/>
      <c r="L39" s="240">
        <v>0</v>
      </c>
      <c r="M39" s="240">
        <v>0</v>
      </c>
      <c r="N39" s="240">
        <v>0</v>
      </c>
    </row>
    <row r="40" spans="3:14" hidden="1" outlineLevel="2">
      <c r="C40" s="73" t="str">
        <v>SpareOfferA20</v>
      </c>
      <c r="D40" t="s">
        <v>174</v>
      </c>
      <c r="F40" s="87">
        <v>0</v>
      </c>
      <c r="H40" s="240">
        <v>0</v>
      </c>
      <c r="I40" s="240">
        <v>0</v>
      </c>
      <c r="J40" s="240">
        <v>0</v>
      </c>
      <c r="K40" s="178"/>
      <c r="L40" s="240">
        <v>0</v>
      </c>
      <c r="M40" s="240">
        <v>0</v>
      </c>
      <c r="N40" s="240">
        <v>0</v>
      </c>
    </row>
    <row r="41" spans="3:14" hidden="1" outlineLevel="2">
      <c r="C41" s="73" t="str">
        <v>SpareOfferA21</v>
      </c>
      <c r="D41" t="s">
        <v>174</v>
      </c>
      <c r="F41" s="87">
        <v>0</v>
      </c>
      <c r="H41" s="240">
        <v>0</v>
      </c>
      <c r="I41" s="240">
        <v>0</v>
      </c>
      <c r="J41" s="240">
        <v>0</v>
      </c>
      <c r="K41" s="178"/>
      <c r="L41" s="240">
        <v>0</v>
      </c>
      <c r="M41" s="240">
        <v>0</v>
      </c>
      <c r="N41" s="240">
        <v>0</v>
      </c>
    </row>
    <row r="42" spans="3:14" hidden="1" outlineLevel="2">
      <c r="C42" s="73" t="str">
        <v>SpareOfferA22</v>
      </c>
      <c r="D42" t="s">
        <v>174</v>
      </c>
      <c r="F42" s="87">
        <v>0</v>
      </c>
      <c r="H42" s="240">
        <v>0</v>
      </c>
      <c r="I42" s="240">
        <v>0</v>
      </c>
      <c r="J42" s="240">
        <v>0</v>
      </c>
      <c r="K42" s="178"/>
      <c r="L42" s="240">
        <v>0</v>
      </c>
      <c r="M42" s="240">
        <v>0</v>
      </c>
      <c r="N42" s="240">
        <v>0</v>
      </c>
    </row>
    <row r="43" spans="3:14" hidden="1" outlineLevel="2">
      <c r="C43" s="73" t="str">
        <v>SpareOfferA23</v>
      </c>
      <c r="D43" t="s">
        <v>174</v>
      </c>
      <c r="F43" s="87">
        <v>0</v>
      </c>
      <c r="H43" s="240">
        <v>0</v>
      </c>
      <c r="I43" s="240">
        <v>0</v>
      </c>
      <c r="J43" s="240">
        <v>0</v>
      </c>
      <c r="K43" s="178"/>
      <c r="L43" s="240">
        <v>0</v>
      </c>
      <c r="M43" s="240">
        <v>0</v>
      </c>
      <c r="N43" s="240">
        <v>0</v>
      </c>
    </row>
    <row r="44" spans="3:14" hidden="1" outlineLevel="2">
      <c r="C44" s="73" t="str">
        <v>SpareOfferA24</v>
      </c>
      <c r="D44" t="s">
        <v>174</v>
      </c>
      <c r="F44" s="87">
        <v>0</v>
      </c>
      <c r="H44" s="240">
        <v>0</v>
      </c>
      <c r="I44" s="240">
        <v>0</v>
      </c>
      <c r="J44" s="240">
        <v>0</v>
      </c>
      <c r="K44" s="178"/>
      <c r="L44" s="240">
        <v>0</v>
      </c>
      <c r="M44" s="240">
        <v>0</v>
      </c>
      <c r="N44" s="240">
        <v>0</v>
      </c>
    </row>
    <row r="45" spans="3:14" hidden="1" outlineLevel="2">
      <c r="C45" s="73" t="str">
        <v>SpareOfferA25</v>
      </c>
      <c r="D45" t="s">
        <v>174</v>
      </c>
      <c r="F45" s="87">
        <v>0</v>
      </c>
      <c r="H45" s="240">
        <v>0</v>
      </c>
      <c r="I45" s="240">
        <v>0</v>
      </c>
      <c r="J45" s="240">
        <v>0</v>
      </c>
      <c r="K45" s="178"/>
      <c r="L45" s="240">
        <v>0</v>
      </c>
      <c r="M45" s="240">
        <v>0</v>
      </c>
      <c r="N45" s="240">
        <v>0</v>
      </c>
    </row>
    <row r="46" spans="3:14" hidden="1" outlineLevel="2">
      <c r="C46" s="73" t="str">
        <v>SpareOfferA26</v>
      </c>
      <c r="D46" t="s">
        <v>174</v>
      </c>
      <c r="F46" s="87">
        <v>0</v>
      </c>
      <c r="H46" s="240">
        <v>0</v>
      </c>
      <c r="I46" s="240">
        <v>0</v>
      </c>
      <c r="J46" s="240">
        <v>0</v>
      </c>
      <c r="K46" s="178"/>
      <c r="L46" s="240">
        <v>0</v>
      </c>
      <c r="M46" s="240">
        <v>0</v>
      </c>
      <c r="N46" s="240">
        <v>0</v>
      </c>
    </row>
    <row r="47" spans="3:14" hidden="1" outlineLevel="2">
      <c r="C47" s="73" t="str">
        <v>SpareOfferA27</v>
      </c>
      <c r="D47" t="s">
        <v>174</v>
      </c>
      <c r="F47" s="87">
        <v>0</v>
      </c>
      <c r="H47" s="240">
        <v>0</v>
      </c>
      <c r="I47" s="240">
        <v>0</v>
      </c>
      <c r="J47" s="240">
        <v>0</v>
      </c>
      <c r="K47" s="178"/>
      <c r="L47" s="240">
        <v>0</v>
      </c>
      <c r="M47" s="240">
        <v>0</v>
      </c>
      <c r="N47" s="240">
        <v>0</v>
      </c>
    </row>
    <row r="48" spans="3:14" hidden="1" outlineLevel="2">
      <c r="C48" s="73" t="str">
        <v>SpareOfferA28</v>
      </c>
      <c r="D48" t="s">
        <v>174</v>
      </c>
      <c r="F48" s="87">
        <v>0</v>
      </c>
      <c r="H48" s="240">
        <v>0</v>
      </c>
      <c r="I48" s="240">
        <v>0</v>
      </c>
      <c r="J48" s="240">
        <v>0</v>
      </c>
      <c r="K48" s="178"/>
      <c r="L48" s="240">
        <v>0</v>
      </c>
      <c r="M48" s="240">
        <v>0</v>
      </c>
      <c r="N48" s="240">
        <v>0</v>
      </c>
    </row>
    <row r="49" spans="2:14" hidden="1" outlineLevel="2">
      <c r="C49" s="73" t="str">
        <v>SpareOfferA29</v>
      </c>
      <c r="D49" t="s">
        <v>174</v>
      </c>
      <c r="F49" s="87">
        <v>0</v>
      </c>
      <c r="H49" s="240">
        <v>0</v>
      </c>
      <c r="I49" s="240">
        <v>0</v>
      </c>
      <c r="J49" s="240">
        <v>0</v>
      </c>
      <c r="K49" s="178"/>
      <c r="L49" s="240">
        <v>0</v>
      </c>
      <c r="M49" s="240">
        <v>0</v>
      </c>
      <c r="N49" s="240">
        <v>0</v>
      </c>
    </row>
    <row r="50" spans="2:14" hidden="1" outlineLevel="2">
      <c r="C50" s="73" t="str">
        <v>SpareOfferA30</v>
      </c>
      <c r="D50" t="s">
        <v>174</v>
      </c>
      <c r="F50" s="87">
        <v>0</v>
      </c>
      <c r="H50" s="240">
        <v>0</v>
      </c>
      <c r="I50" s="240">
        <v>0</v>
      </c>
      <c r="J50" s="240">
        <v>0</v>
      </c>
      <c r="K50" s="178"/>
      <c r="L50" s="240">
        <v>0</v>
      </c>
      <c r="M50" s="240">
        <v>0</v>
      </c>
      <c r="N50" s="240">
        <v>0</v>
      </c>
    </row>
    <row r="51" spans="2:14" hidden="1" outlineLevel="2">
      <c r="C51" s="73" t="str">
        <v>SpareOfferA31</v>
      </c>
      <c r="D51" t="s">
        <v>174</v>
      </c>
      <c r="F51" s="87">
        <v>0</v>
      </c>
      <c r="H51" s="240">
        <v>0</v>
      </c>
      <c r="I51" s="240">
        <v>0</v>
      </c>
      <c r="J51" s="240">
        <v>0</v>
      </c>
      <c r="K51" s="178"/>
      <c r="L51" s="240">
        <v>0</v>
      </c>
      <c r="M51" s="240">
        <v>0</v>
      </c>
      <c r="N51" s="240">
        <v>0</v>
      </c>
    </row>
    <row r="52" spans="2:14" hidden="1" outlineLevel="2">
      <c r="C52" s="73" t="str">
        <v>SpareOfferA32</v>
      </c>
      <c r="D52" t="s">
        <v>174</v>
      </c>
      <c r="F52" s="87">
        <v>0</v>
      </c>
      <c r="H52" s="240">
        <v>0</v>
      </c>
      <c r="I52" s="240">
        <v>0</v>
      </c>
      <c r="J52" s="240">
        <v>0</v>
      </c>
      <c r="K52" s="178"/>
      <c r="L52" s="240">
        <v>0</v>
      </c>
      <c r="M52" s="240">
        <v>0</v>
      </c>
      <c r="N52" s="240">
        <v>0</v>
      </c>
    </row>
    <row r="53" spans="2:14" hidden="1" outlineLevel="2">
      <c r="C53" s="73" t="str">
        <v>SpareOfferA33</v>
      </c>
      <c r="D53" t="s">
        <v>174</v>
      </c>
      <c r="F53" s="87">
        <v>0</v>
      </c>
      <c r="H53" s="240">
        <v>0</v>
      </c>
      <c r="I53" s="240">
        <v>0</v>
      </c>
      <c r="J53" s="240">
        <v>0</v>
      </c>
      <c r="K53" s="178"/>
      <c r="L53" s="240">
        <v>0</v>
      </c>
      <c r="M53" s="240">
        <v>0</v>
      </c>
      <c r="N53" s="240">
        <v>0</v>
      </c>
    </row>
    <row r="54" spans="2:14" hidden="1" outlineLevel="2">
      <c r="C54" s="73" t="str">
        <v>SpareOfferA34</v>
      </c>
      <c r="D54" t="s">
        <v>174</v>
      </c>
      <c r="F54" s="87">
        <v>0</v>
      </c>
      <c r="H54" s="240">
        <v>0</v>
      </c>
      <c r="I54" s="240">
        <v>0</v>
      </c>
      <c r="J54" s="240">
        <v>0</v>
      </c>
      <c r="K54" s="178"/>
      <c r="L54" s="240">
        <v>0</v>
      </c>
      <c r="M54" s="240">
        <v>0</v>
      </c>
      <c r="N54" s="240">
        <v>0</v>
      </c>
    </row>
    <row r="55" spans="2:14" outlineLevel="1" collapsed="1">
      <c r="C55" s="73" t="str">
        <v>SpareOfferA35</v>
      </c>
      <c r="D55" t="s">
        <v>174</v>
      </c>
      <c r="F55" s="87">
        <v>0</v>
      </c>
      <c r="H55" s="240">
        <v>0</v>
      </c>
      <c r="I55" s="240">
        <v>0</v>
      </c>
      <c r="J55" s="240">
        <v>0</v>
      </c>
      <c r="K55" s="178"/>
      <c r="L55" s="240">
        <v>0</v>
      </c>
      <c r="M55" s="240">
        <v>0</v>
      </c>
      <c r="N55" s="240">
        <v>0</v>
      </c>
    </row>
    <row r="56" spans="2:14" outlineLevel="1"/>
    <row r="57" spans="2:14" ht="12.75" customHeight="1" outlineLevel="1">
      <c r="B57" s="91" t="s">
        <v>219</v>
      </c>
      <c r="F57" s="127" t="s">
        <v>190</v>
      </c>
      <c r="H57" s="119" t="s">
        <v>300</v>
      </c>
      <c r="I57" s="119"/>
      <c r="J57" s="119"/>
      <c r="L57" s="119" t="s">
        <v>299</v>
      </c>
      <c r="M57" s="119"/>
      <c r="N57" s="119"/>
    </row>
    <row r="58" spans="2:14" ht="23" outlineLevel="1">
      <c r="F58" s="127"/>
      <c r="H58" s="1" t="str">
        <f t="array" ref="H58:J58">TRANSPOSE(destination.IC)</f>
        <v>Off-net fixed</v>
      </c>
      <c r="I58" s="1" t="str">
        <v>Off-net mobile</v>
      </c>
      <c r="J58" s="1" t="str">
        <v>International</v>
      </c>
      <c r="L58" s="1" t="str">
        <f t="array" ref="L58:N58">TRANSPOSE(destination.IC)</f>
        <v>Off-net fixed</v>
      </c>
      <c r="M58" s="1" t="str">
        <v>Off-net mobile</v>
      </c>
      <c r="N58" s="1" t="str">
        <v>International</v>
      </c>
    </row>
    <row r="59" spans="2:14" outlineLevel="1">
      <c r="C59" s="93" t="s">
        <v>339</v>
      </c>
      <c r="D59" t="s">
        <v>301</v>
      </c>
      <c r="F59" s="146">
        <f t="shared" ref="F59" si="2">SUM(H59:J59,L59:N59)</f>
        <v>0</v>
      </c>
      <c r="G59" s="179"/>
      <c r="H59" s="230">
        <f t="shared" ref="H59:J59" si="3">H20*H$16</f>
        <v>0</v>
      </c>
      <c r="I59" s="230">
        <f t="shared" si="3"/>
        <v>0</v>
      </c>
      <c r="J59" s="230">
        <f t="shared" si="3"/>
        <v>0</v>
      </c>
      <c r="K59" s="179"/>
      <c r="L59" s="230">
        <f t="shared" ref="L59:N59" si="4">L20*L$16</f>
        <v>0</v>
      </c>
      <c r="M59" s="230">
        <f t="shared" si="4"/>
        <v>0</v>
      </c>
      <c r="N59" s="230">
        <f t="shared" si="4"/>
        <v>0</v>
      </c>
    </row>
    <row r="60" spans="2:14" outlineLevel="1">
      <c r="C60" s="73" t="str">
        <f t="array" ref="C60:C94">offers.segment.1</f>
        <v>SpareOfferA1</v>
      </c>
      <c r="D60" t="s">
        <v>301</v>
      </c>
      <c r="F60" s="180">
        <f>SUM(H60:J60,L60:N60)</f>
        <v>0</v>
      </c>
      <c r="G60" s="179"/>
      <c r="H60" s="230">
        <f t="shared" ref="H60:J79" si="5">H21*H$16</f>
        <v>0</v>
      </c>
      <c r="I60" s="230">
        <f t="shared" si="5"/>
        <v>0</v>
      </c>
      <c r="J60" s="230">
        <f t="shared" si="5"/>
        <v>0</v>
      </c>
      <c r="K60" s="179"/>
      <c r="L60" s="230">
        <f t="shared" ref="L60:N79" si="6">L21*L$16</f>
        <v>0</v>
      </c>
      <c r="M60" s="230">
        <f t="shared" si="6"/>
        <v>0</v>
      </c>
      <c r="N60" s="230">
        <f t="shared" si="6"/>
        <v>0</v>
      </c>
    </row>
    <row r="61" spans="2:14" hidden="1" outlineLevel="2">
      <c r="C61" s="73" t="str">
        <v>SpareOfferA2</v>
      </c>
      <c r="D61" t="s">
        <v>301</v>
      </c>
      <c r="F61" s="180">
        <f t="shared" ref="F61:F94" si="7">SUM(H61:J61,L61:N61)</f>
        <v>0</v>
      </c>
      <c r="G61" s="179"/>
      <c r="H61" s="230">
        <f t="shared" si="5"/>
        <v>0</v>
      </c>
      <c r="I61" s="230">
        <f t="shared" si="5"/>
        <v>0</v>
      </c>
      <c r="J61" s="230">
        <f t="shared" si="5"/>
        <v>0</v>
      </c>
      <c r="K61" s="179"/>
      <c r="L61" s="230">
        <f t="shared" si="6"/>
        <v>0</v>
      </c>
      <c r="M61" s="230">
        <f t="shared" si="6"/>
        <v>0</v>
      </c>
      <c r="N61" s="230">
        <f t="shared" si="6"/>
        <v>0</v>
      </c>
    </row>
    <row r="62" spans="2:14" hidden="1" outlineLevel="2">
      <c r="C62" s="73" t="str">
        <v>SpareOfferA3</v>
      </c>
      <c r="D62" t="s">
        <v>301</v>
      </c>
      <c r="F62" s="180">
        <f t="shared" si="7"/>
        <v>0</v>
      </c>
      <c r="G62" s="179"/>
      <c r="H62" s="230">
        <f t="shared" si="5"/>
        <v>0</v>
      </c>
      <c r="I62" s="230">
        <f t="shared" si="5"/>
        <v>0</v>
      </c>
      <c r="J62" s="230">
        <f t="shared" si="5"/>
        <v>0</v>
      </c>
      <c r="K62" s="179"/>
      <c r="L62" s="230">
        <f t="shared" si="6"/>
        <v>0</v>
      </c>
      <c r="M62" s="230">
        <f t="shared" si="6"/>
        <v>0</v>
      </c>
      <c r="N62" s="230">
        <f t="shared" si="6"/>
        <v>0</v>
      </c>
    </row>
    <row r="63" spans="2:14" hidden="1" outlineLevel="2">
      <c r="C63" s="73" t="str">
        <v>SpareOfferA4</v>
      </c>
      <c r="D63" t="s">
        <v>301</v>
      </c>
      <c r="F63" s="180">
        <f t="shared" si="7"/>
        <v>0</v>
      </c>
      <c r="G63" s="179"/>
      <c r="H63" s="230">
        <f t="shared" si="5"/>
        <v>0</v>
      </c>
      <c r="I63" s="230">
        <f t="shared" si="5"/>
        <v>0</v>
      </c>
      <c r="J63" s="230">
        <f t="shared" si="5"/>
        <v>0</v>
      </c>
      <c r="K63" s="179"/>
      <c r="L63" s="230">
        <f t="shared" si="6"/>
        <v>0</v>
      </c>
      <c r="M63" s="230">
        <f t="shared" si="6"/>
        <v>0</v>
      </c>
      <c r="N63" s="230">
        <f t="shared" si="6"/>
        <v>0</v>
      </c>
    </row>
    <row r="64" spans="2:14" hidden="1" outlineLevel="2">
      <c r="C64" s="73" t="str">
        <v>SpareOfferA5</v>
      </c>
      <c r="D64" t="s">
        <v>301</v>
      </c>
      <c r="F64" s="180">
        <f t="shared" si="7"/>
        <v>0</v>
      </c>
      <c r="G64" s="179"/>
      <c r="H64" s="230">
        <f t="shared" si="5"/>
        <v>0</v>
      </c>
      <c r="I64" s="230">
        <f t="shared" si="5"/>
        <v>0</v>
      </c>
      <c r="J64" s="230">
        <f t="shared" si="5"/>
        <v>0</v>
      </c>
      <c r="K64" s="179"/>
      <c r="L64" s="230">
        <f t="shared" si="6"/>
        <v>0</v>
      </c>
      <c r="M64" s="230">
        <f t="shared" si="6"/>
        <v>0</v>
      </c>
      <c r="N64" s="230">
        <f t="shared" si="6"/>
        <v>0</v>
      </c>
    </row>
    <row r="65" spans="3:14" hidden="1" outlineLevel="2">
      <c r="C65" s="73" t="str">
        <v>SpareOfferA6</v>
      </c>
      <c r="D65" t="s">
        <v>301</v>
      </c>
      <c r="F65" s="180">
        <f t="shared" si="7"/>
        <v>0</v>
      </c>
      <c r="G65" s="179"/>
      <c r="H65" s="230">
        <f t="shared" si="5"/>
        <v>0</v>
      </c>
      <c r="I65" s="230">
        <f t="shared" si="5"/>
        <v>0</v>
      </c>
      <c r="J65" s="230">
        <f t="shared" si="5"/>
        <v>0</v>
      </c>
      <c r="K65" s="179"/>
      <c r="L65" s="230">
        <f t="shared" si="6"/>
        <v>0</v>
      </c>
      <c r="M65" s="230">
        <f t="shared" si="6"/>
        <v>0</v>
      </c>
      <c r="N65" s="230">
        <f t="shared" si="6"/>
        <v>0</v>
      </c>
    </row>
    <row r="66" spans="3:14" hidden="1" outlineLevel="2">
      <c r="C66" s="73" t="str">
        <v>SpareOfferA7</v>
      </c>
      <c r="D66" t="s">
        <v>301</v>
      </c>
      <c r="F66" s="180">
        <f t="shared" si="7"/>
        <v>0</v>
      </c>
      <c r="G66" s="179"/>
      <c r="H66" s="230">
        <f t="shared" si="5"/>
        <v>0</v>
      </c>
      <c r="I66" s="230">
        <f t="shared" si="5"/>
        <v>0</v>
      </c>
      <c r="J66" s="230">
        <f t="shared" si="5"/>
        <v>0</v>
      </c>
      <c r="K66" s="179"/>
      <c r="L66" s="230">
        <f t="shared" si="6"/>
        <v>0</v>
      </c>
      <c r="M66" s="230">
        <f t="shared" si="6"/>
        <v>0</v>
      </c>
      <c r="N66" s="230">
        <f t="shared" si="6"/>
        <v>0</v>
      </c>
    </row>
    <row r="67" spans="3:14" hidden="1" outlineLevel="2">
      <c r="C67" s="73" t="str">
        <v>SpareOfferA8</v>
      </c>
      <c r="D67" t="s">
        <v>301</v>
      </c>
      <c r="F67" s="180">
        <f t="shared" si="7"/>
        <v>0</v>
      </c>
      <c r="G67" s="179"/>
      <c r="H67" s="230">
        <f t="shared" si="5"/>
        <v>0</v>
      </c>
      <c r="I67" s="230">
        <f t="shared" si="5"/>
        <v>0</v>
      </c>
      <c r="J67" s="230">
        <f t="shared" si="5"/>
        <v>0</v>
      </c>
      <c r="K67" s="179"/>
      <c r="L67" s="230">
        <f t="shared" si="6"/>
        <v>0</v>
      </c>
      <c r="M67" s="230">
        <f t="shared" si="6"/>
        <v>0</v>
      </c>
      <c r="N67" s="230">
        <f t="shared" si="6"/>
        <v>0</v>
      </c>
    </row>
    <row r="68" spans="3:14" hidden="1" outlineLevel="2">
      <c r="C68" s="73" t="str">
        <v>SpareOfferA9</v>
      </c>
      <c r="D68" t="s">
        <v>301</v>
      </c>
      <c r="F68" s="180">
        <f t="shared" si="7"/>
        <v>0</v>
      </c>
      <c r="G68" s="179"/>
      <c r="H68" s="230">
        <f t="shared" si="5"/>
        <v>0</v>
      </c>
      <c r="I68" s="230">
        <f t="shared" si="5"/>
        <v>0</v>
      </c>
      <c r="J68" s="230">
        <f t="shared" si="5"/>
        <v>0</v>
      </c>
      <c r="K68" s="179"/>
      <c r="L68" s="230">
        <f t="shared" si="6"/>
        <v>0</v>
      </c>
      <c r="M68" s="230">
        <f t="shared" si="6"/>
        <v>0</v>
      </c>
      <c r="N68" s="230">
        <f t="shared" si="6"/>
        <v>0</v>
      </c>
    </row>
    <row r="69" spans="3:14" hidden="1" outlineLevel="2">
      <c r="C69" s="73" t="str">
        <v>SpareOfferA10</v>
      </c>
      <c r="D69" t="s">
        <v>301</v>
      </c>
      <c r="F69" s="180">
        <f t="shared" si="7"/>
        <v>0</v>
      </c>
      <c r="G69" s="179"/>
      <c r="H69" s="230">
        <f t="shared" si="5"/>
        <v>0</v>
      </c>
      <c r="I69" s="230">
        <f t="shared" si="5"/>
        <v>0</v>
      </c>
      <c r="J69" s="230">
        <f t="shared" si="5"/>
        <v>0</v>
      </c>
      <c r="K69" s="179"/>
      <c r="L69" s="230">
        <f t="shared" si="6"/>
        <v>0</v>
      </c>
      <c r="M69" s="230">
        <f t="shared" si="6"/>
        <v>0</v>
      </c>
      <c r="N69" s="230">
        <f t="shared" si="6"/>
        <v>0</v>
      </c>
    </row>
    <row r="70" spans="3:14" hidden="1" outlineLevel="2">
      <c r="C70" s="73" t="str">
        <v>SpareOfferA11</v>
      </c>
      <c r="D70" t="s">
        <v>301</v>
      </c>
      <c r="F70" s="180">
        <f t="shared" si="7"/>
        <v>0</v>
      </c>
      <c r="G70" s="179"/>
      <c r="H70" s="230">
        <f t="shared" si="5"/>
        <v>0</v>
      </c>
      <c r="I70" s="230">
        <f t="shared" si="5"/>
        <v>0</v>
      </c>
      <c r="J70" s="230">
        <f t="shared" si="5"/>
        <v>0</v>
      </c>
      <c r="K70" s="179"/>
      <c r="L70" s="230">
        <f t="shared" si="6"/>
        <v>0</v>
      </c>
      <c r="M70" s="230">
        <f t="shared" si="6"/>
        <v>0</v>
      </c>
      <c r="N70" s="230">
        <f t="shared" si="6"/>
        <v>0</v>
      </c>
    </row>
    <row r="71" spans="3:14" hidden="1" outlineLevel="2">
      <c r="C71" s="73" t="str">
        <v>SpareOfferA12</v>
      </c>
      <c r="D71" t="s">
        <v>301</v>
      </c>
      <c r="F71" s="180">
        <f t="shared" si="7"/>
        <v>0</v>
      </c>
      <c r="G71" s="179"/>
      <c r="H71" s="230">
        <f t="shared" si="5"/>
        <v>0</v>
      </c>
      <c r="I71" s="230">
        <f t="shared" si="5"/>
        <v>0</v>
      </c>
      <c r="J71" s="230">
        <f t="shared" si="5"/>
        <v>0</v>
      </c>
      <c r="K71" s="179"/>
      <c r="L71" s="230">
        <f t="shared" si="6"/>
        <v>0</v>
      </c>
      <c r="M71" s="230">
        <f t="shared" si="6"/>
        <v>0</v>
      </c>
      <c r="N71" s="230">
        <f t="shared" si="6"/>
        <v>0</v>
      </c>
    </row>
    <row r="72" spans="3:14" hidden="1" outlineLevel="2">
      <c r="C72" s="73" t="str">
        <v>SpareOfferA13</v>
      </c>
      <c r="D72" t="s">
        <v>301</v>
      </c>
      <c r="F72" s="180">
        <f t="shared" si="7"/>
        <v>0</v>
      </c>
      <c r="G72" s="179"/>
      <c r="H72" s="230">
        <f t="shared" si="5"/>
        <v>0</v>
      </c>
      <c r="I72" s="230">
        <f t="shared" si="5"/>
        <v>0</v>
      </c>
      <c r="J72" s="230">
        <f t="shared" si="5"/>
        <v>0</v>
      </c>
      <c r="K72" s="179"/>
      <c r="L72" s="230">
        <f t="shared" si="6"/>
        <v>0</v>
      </c>
      <c r="M72" s="230">
        <f t="shared" si="6"/>
        <v>0</v>
      </c>
      <c r="N72" s="230">
        <f t="shared" si="6"/>
        <v>0</v>
      </c>
    </row>
    <row r="73" spans="3:14" hidden="1" outlineLevel="2">
      <c r="C73" s="73" t="str">
        <v>SpareOfferA14</v>
      </c>
      <c r="D73" t="s">
        <v>301</v>
      </c>
      <c r="F73" s="180">
        <f t="shared" si="7"/>
        <v>0</v>
      </c>
      <c r="G73" s="179"/>
      <c r="H73" s="230">
        <f t="shared" si="5"/>
        <v>0</v>
      </c>
      <c r="I73" s="230">
        <f t="shared" si="5"/>
        <v>0</v>
      </c>
      <c r="J73" s="230">
        <f t="shared" si="5"/>
        <v>0</v>
      </c>
      <c r="K73" s="179"/>
      <c r="L73" s="230">
        <f t="shared" si="6"/>
        <v>0</v>
      </c>
      <c r="M73" s="230">
        <f t="shared" si="6"/>
        <v>0</v>
      </c>
      <c r="N73" s="230">
        <f t="shared" si="6"/>
        <v>0</v>
      </c>
    </row>
    <row r="74" spans="3:14" hidden="1" outlineLevel="2">
      <c r="C74" s="73" t="str">
        <v>SpareOfferA15</v>
      </c>
      <c r="D74" t="s">
        <v>301</v>
      </c>
      <c r="F74" s="180">
        <f t="shared" si="7"/>
        <v>0</v>
      </c>
      <c r="G74" s="179"/>
      <c r="H74" s="230">
        <f t="shared" si="5"/>
        <v>0</v>
      </c>
      <c r="I74" s="230">
        <f t="shared" si="5"/>
        <v>0</v>
      </c>
      <c r="J74" s="230">
        <f t="shared" si="5"/>
        <v>0</v>
      </c>
      <c r="K74" s="179"/>
      <c r="L74" s="230">
        <f t="shared" si="6"/>
        <v>0</v>
      </c>
      <c r="M74" s="230">
        <f t="shared" si="6"/>
        <v>0</v>
      </c>
      <c r="N74" s="230">
        <f t="shared" si="6"/>
        <v>0</v>
      </c>
    </row>
    <row r="75" spans="3:14" hidden="1" outlineLevel="2">
      <c r="C75" s="73" t="str">
        <v>SpareOfferA16</v>
      </c>
      <c r="D75" t="s">
        <v>301</v>
      </c>
      <c r="F75" s="180">
        <f t="shared" si="7"/>
        <v>0</v>
      </c>
      <c r="G75" s="179"/>
      <c r="H75" s="230">
        <f t="shared" si="5"/>
        <v>0</v>
      </c>
      <c r="I75" s="230">
        <f t="shared" si="5"/>
        <v>0</v>
      </c>
      <c r="J75" s="230">
        <f t="shared" si="5"/>
        <v>0</v>
      </c>
      <c r="K75" s="179"/>
      <c r="L75" s="230">
        <f t="shared" si="6"/>
        <v>0</v>
      </c>
      <c r="M75" s="230">
        <f t="shared" si="6"/>
        <v>0</v>
      </c>
      <c r="N75" s="230">
        <f t="shared" si="6"/>
        <v>0</v>
      </c>
    </row>
    <row r="76" spans="3:14" hidden="1" outlineLevel="2">
      <c r="C76" s="73" t="str">
        <v>SpareOfferA17</v>
      </c>
      <c r="D76" t="s">
        <v>301</v>
      </c>
      <c r="F76" s="180">
        <f t="shared" si="7"/>
        <v>0</v>
      </c>
      <c r="G76" s="179"/>
      <c r="H76" s="230">
        <f t="shared" si="5"/>
        <v>0</v>
      </c>
      <c r="I76" s="230">
        <f t="shared" si="5"/>
        <v>0</v>
      </c>
      <c r="J76" s="230">
        <f t="shared" si="5"/>
        <v>0</v>
      </c>
      <c r="K76" s="179"/>
      <c r="L76" s="230">
        <f t="shared" si="6"/>
        <v>0</v>
      </c>
      <c r="M76" s="230">
        <f t="shared" si="6"/>
        <v>0</v>
      </c>
      <c r="N76" s="230">
        <f t="shared" si="6"/>
        <v>0</v>
      </c>
    </row>
    <row r="77" spans="3:14" hidden="1" outlineLevel="2">
      <c r="C77" s="73" t="str">
        <v>SpareOfferA18</v>
      </c>
      <c r="D77" t="s">
        <v>301</v>
      </c>
      <c r="F77" s="180">
        <f t="shared" si="7"/>
        <v>0</v>
      </c>
      <c r="G77" s="179"/>
      <c r="H77" s="230">
        <f t="shared" si="5"/>
        <v>0</v>
      </c>
      <c r="I77" s="230">
        <f t="shared" si="5"/>
        <v>0</v>
      </c>
      <c r="J77" s="230">
        <f t="shared" si="5"/>
        <v>0</v>
      </c>
      <c r="K77" s="179"/>
      <c r="L77" s="230">
        <f t="shared" si="6"/>
        <v>0</v>
      </c>
      <c r="M77" s="230">
        <f t="shared" si="6"/>
        <v>0</v>
      </c>
      <c r="N77" s="230">
        <f t="shared" si="6"/>
        <v>0</v>
      </c>
    </row>
    <row r="78" spans="3:14" hidden="1" outlineLevel="2">
      <c r="C78" s="73" t="str">
        <v>SpareOfferA19</v>
      </c>
      <c r="D78" t="s">
        <v>301</v>
      </c>
      <c r="F78" s="180">
        <f t="shared" si="7"/>
        <v>0</v>
      </c>
      <c r="G78" s="179"/>
      <c r="H78" s="230">
        <f t="shared" si="5"/>
        <v>0</v>
      </c>
      <c r="I78" s="230">
        <f t="shared" si="5"/>
        <v>0</v>
      </c>
      <c r="J78" s="230">
        <f t="shared" si="5"/>
        <v>0</v>
      </c>
      <c r="K78" s="179"/>
      <c r="L78" s="230">
        <f t="shared" si="6"/>
        <v>0</v>
      </c>
      <c r="M78" s="230">
        <f t="shared" si="6"/>
        <v>0</v>
      </c>
      <c r="N78" s="230">
        <f t="shared" si="6"/>
        <v>0</v>
      </c>
    </row>
    <row r="79" spans="3:14" hidden="1" outlineLevel="2">
      <c r="C79" s="73" t="str">
        <v>SpareOfferA20</v>
      </c>
      <c r="D79" t="s">
        <v>301</v>
      </c>
      <c r="F79" s="180">
        <f t="shared" si="7"/>
        <v>0</v>
      </c>
      <c r="G79" s="179"/>
      <c r="H79" s="230">
        <f t="shared" si="5"/>
        <v>0</v>
      </c>
      <c r="I79" s="230">
        <f t="shared" si="5"/>
        <v>0</v>
      </c>
      <c r="J79" s="230">
        <f t="shared" si="5"/>
        <v>0</v>
      </c>
      <c r="K79" s="179"/>
      <c r="L79" s="230">
        <f t="shared" si="6"/>
        <v>0</v>
      </c>
      <c r="M79" s="230">
        <f t="shared" si="6"/>
        <v>0</v>
      </c>
      <c r="N79" s="230">
        <f t="shared" si="6"/>
        <v>0</v>
      </c>
    </row>
    <row r="80" spans="3:14" hidden="1" outlineLevel="2">
      <c r="C80" s="73" t="str">
        <v>SpareOfferA21</v>
      </c>
      <c r="D80" t="s">
        <v>301</v>
      </c>
      <c r="F80" s="180">
        <f t="shared" si="7"/>
        <v>0</v>
      </c>
      <c r="G80" s="179"/>
      <c r="H80" s="230">
        <f t="shared" ref="H80:J94" si="8">H41*H$16</f>
        <v>0</v>
      </c>
      <c r="I80" s="230">
        <f t="shared" si="8"/>
        <v>0</v>
      </c>
      <c r="J80" s="230">
        <f t="shared" si="8"/>
        <v>0</v>
      </c>
      <c r="K80" s="179"/>
      <c r="L80" s="230">
        <f t="shared" ref="L80:N94" si="9">L41*L$16</f>
        <v>0</v>
      </c>
      <c r="M80" s="230">
        <f t="shared" si="9"/>
        <v>0</v>
      </c>
      <c r="N80" s="230">
        <f t="shared" si="9"/>
        <v>0</v>
      </c>
    </row>
    <row r="81" spans="1:14" hidden="1" outlineLevel="2">
      <c r="C81" s="73" t="str">
        <v>SpareOfferA22</v>
      </c>
      <c r="D81" t="s">
        <v>301</v>
      </c>
      <c r="F81" s="180">
        <f t="shared" si="7"/>
        <v>0</v>
      </c>
      <c r="G81" s="179"/>
      <c r="H81" s="230">
        <f t="shared" si="8"/>
        <v>0</v>
      </c>
      <c r="I81" s="230">
        <f t="shared" si="8"/>
        <v>0</v>
      </c>
      <c r="J81" s="230">
        <f t="shared" si="8"/>
        <v>0</v>
      </c>
      <c r="K81" s="179"/>
      <c r="L81" s="230">
        <f t="shared" si="9"/>
        <v>0</v>
      </c>
      <c r="M81" s="230">
        <f t="shared" si="9"/>
        <v>0</v>
      </c>
      <c r="N81" s="230">
        <f t="shared" si="9"/>
        <v>0</v>
      </c>
    </row>
    <row r="82" spans="1:14" hidden="1" outlineLevel="2">
      <c r="C82" s="73" t="str">
        <v>SpareOfferA23</v>
      </c>
      <c r="D82" t="s">
        <v>301</v>
      </c>
      <c r="F82" s="180">
        <f t="shared" si="7"/>
        <v>0</v>
      </c>
      <c r="G82" s="179"/>
      <c r="H82" s="230">
        <f t="shared" si="8"/>
        <v>0</v>
      </c>
      <c r="I82" s="230">
        <f t="shared" si="8"/>
        <v>0</v>
      </c>
      <c r="J82" s="230">
        <f t="shared" si="8"/>
        <v>0</v>
      </c>
      <c r="K82" s="179"/>
      <c r="L82" s="230">
        <f t="shared" si="9"/>
        <v>0</v>
      </c>
      <c r="M82" s="230">
        <f t="shared" si="9"/>
        <v>0</v>
      </c>
      <c r="N82" s="230">
        <f t="shared" si="9"/>
        <v>0</v>
      </c>
    </row>
    <row r="83" spans="1:14" hidden="1" outlineLevel="2">
      <c r="C83" s="73" t="str">
        <v>SpareOfferA24</v>
      </c>
      <c r="D83" t="s">
        <v>301</v>
      </c>
      <c r="F83" s="180">
        <f t="shared" si="7"/>
        <v>0</v>
      </c>
      <c r="G83" s="179"/>
      <c r="H83" s="230">
        <f t="shared" si="8"/>
        <v>0</v>
      </c>
      <c r="I83" s="230">
        <f t="shared" si="8"/>
        <v>0</v>
      </c>
      <c r="J83" s="230">
        <f t="shared" si="8"/>
        <v>0</v>
      </c>
      <c r="K83" s="179"/>
      <c r="L83" s="230">
        <f t="shared" si="9"/>
        <v>0</v>
      </c>
      <c r="M83" s="230">
        <f t="shared" si="9"/>
        <v>0</v>
      </c>
      <c r="N83" s="230">
        <f t="shared" si="9"/>
        <v>0</v>
      </c>
    </row>
    <row r="84" spans="1:14" hidden="1" outlineLevel="2">
      <c r="C84" s="73" t="str">
        <v>SpareOfferA25</v>
      </c>
      <c r="D84" t="s">
        <v>301</v>
      </c>
      <c r="F84" s="180">
        <f t="shared" si="7"/>
        <v>0</v>
      </c>
      <c r="G84" s="179"/>
      <c r="H84" s="230">
        <f t="shared" si="8"/>
        <v>0</v>
      </c>
      <c r="I84" s="230">
        <f t="shared" si="8"/>
        <v>0</v>
      </c>
      <c r="J84" s="230">
        <f t="shared" si="8"/>
        <v>0</v>
      </c>
      <c r="K84" s="179"/>
      <c r="L84" s="230">
        <f t="shared" si="9"/>
        <v>0</v>
      </c>
      <c r="M84" s="230">
        <f t="shared" si="9"/>
        <v>0</v>
      </c>
      <c r="N84" s="230">
        <f t="shared" si="9"/>
        <v>0</v>
      </c>
    </row>
    <row r="85" spans="1:14" hidden="1" outlineLevel="2">
      <c r="C85" s="73" t="str">
        <v>SpareOfferA26</v>
      </c>
      <c r="D85" t="s">
        <v>301</v>
      </c>
      <c r="F85" s="180">
        <f t="shared" si="7"/>
        <v>0</v>
      </c>
      <c r="G85" s="179"/>
      <c r="H85" s="230">
        <f t="shared" si="8"/>
        <v>0</v>
      </c>
      <c r="I85" s="230">
        <f t="shared" si="8"/>
        <v>0</v>
      </c>
      <c r="J85" s="230">
        <f t="shared" si="8"/>
        <v>0</v>
      </c>
      <c r="K85" s="179"/>
      <c r="L85" s="230">
        <f t="shared" si="9"/>
        <v>0</v>
      </c>
      <c r="M85" s="230">
        <f t="shared" si="9"/>
        <v>0</v>
      </c>
      <c r="N85" s="230">
        <f t="shared" si="9"/>
        <v>0</v>
      </c>
    </row>
    <row r="86" spans="1:14" hidden="1" outlineLevel="2">
      <c r="C86" s="73" t="str">
        <v>SpareOfferA27</v>
      </c>
      <c r="D86" t="s">
        <v>301</v>
      </c>
      <c r="F86" s="180">
        <f t="shared" si="7"/>
        <v>0</v>
      </c>
      <c r="G86" s="179"/>
      <c r="H86" s="230">
        <f t="shared" si="8"/>
        <v>0</v>
      </c>
      <c r="I86" s="230">
        <f t="shared" si="8"/>
        <v>0</v>
      </c>
      <c r="J86" s="230">
        <f t="shared" si="8"/>
        <v>0</v>
      </c>
      <c r="K86" s="179"/>
      <c r="L86" s="230">
        <f t="shared" si="9"/>
        <v>0</v>
      </c>
      <c r="M86" s="230">
        <f t="shared" si="9"/>
        <v>0</v>
      </c>
      <c r="N86" s="230">
        <f t="shared" si="9"/>
        <v>0</v>
      </c>
    </row>
    <row r="87" spans="1:14" hidden="1" outlineLevel="2">
      <c r="C87" s="73" t="str">
        <v>SpareOfferA28</v>
      </c>
      <c r="D87" t="s">
        <v>301</v>
      </c>
      <c r="F87" s="180">
        <f t="shared" si="7"/>
        <v>0</v>
      </c>
      <c r="G87" s="179"/>
      <c r="H87" s="230">
        <f t="shared" si="8"/>
        <v>0</v>
      </c>
      <c r="I87" s="230">
        <f t="shared" si="8"/>
        <v>0</v>
      </c>
      <c r="J87" s="230">
        <f t="shared" si="8"/>
        <v>0</v>
      </c>
      <c r="K87" s="179"/>
      <c r="L87" s="230">
        <f t="shared" si="9"/>
        <v>0</v>
      </c>
      <c r="M87" s="230">
        <f t="shared" si="9"/>
        <v>0</v>
      </c>
      <c r="N87" s="230">
        <f t="shared" si="9"/>
        <v>0</v>
      </c>
    </row>
    <row r="88" spans="1:14" hidden="1" outlineLevel="2">
      <c r="C88" s="73" t="str">
        <v>SpareOfferA29</v>
      </c>
      <c r="D88" t="s">
        <v>301</v>
      </c>
      <c r="F88" s="180">
        <f t="shared" si="7"/>
        <v>0</v>
      </c>
      <c r="G88" s="179"/>
      <c r="H88" s="230">
        <f t="shared" si="8"/>
        <v>0</v>
      </c>
      <c r="I88" s="230">
        <f t="shared" si="8"/>
        <v>0</v>
      </c>
      <c r="J88" s="230">
        <f t="shared" si="8"/>
        <v>0</v>
      </c>
      <c r="K88" s="179"/>
      <c r="L88" s="230">
        <f t="shared" si="9"/>
        <v>0</v>
      </c>
      <c r="M88" s="230">
        <f t="shared" si="9"/>
        <v>0</v>
      </c>
      <c r="N88" s="230">
        <f t="shared" si="9"/>
        <v>0</v>
      </c>
    </row>
    <row r="89" spans="1:14" hidden="1" outlineLevel="2">
      <c r="C89" s="73" t="str">
        <v>SpareOfferA30</v>
      </c>
      <c r="D89" t="s">
        <v>301</v>
      </c>
      <c r="F89" s="180">
        <f t="shared" si="7"/>
        <v>0</v>
      </c>
      <c r="G89" s="179"/>
      <c r="H89" s="230">
        <f t="shared" si="8"/>
        <v>0</v>
      </c>
      <c r="I89" s="230">
        <f t="shared" si="8"/>
        <v>0</v>
      </c>
      <c r="J89" s="230">
        <f t="shared" si="8"/>
        <v>0</v>
      </c>
      <c r="K89" s="179"/>
      <c r="L89" s="230">
        <f t="shared" si="9"/>
        <v>0</v>
      </c>
      <c r="M89" s="230">
        <f t="shared" si="9"/>
        <v>0</v>
      </c>
      <c r="N89" s="230">
        <f t="shared" si="9"/>
        <v>0</v>
      </c>
    </row>
    <row r="90" spans="1:14" hidden="1" outlineLevel="2">
      <c r="C90" s="73" t="str">
        <v>SpareOfferA31</v>
      </c>
      <c r="D90" t="s">
        <v>301</v>
      </c>
      <c r="F90" s="180">
        <f t="shared" si="7"/>
        <v>0</v>
      </c>
      <c r="G90" s="179"/>
      <c r="H90" s="230">
        <f t="shared" si="8"/>
        <v>0</v>
      </c>
      <c r="I90" s="230">
        <f t="shared" si="8"/>
        <v>0</v>
      </c>
      <c r="J90" s="230">
        <f t="shared" si="8"/>
        <v>0</v>
      </c>
      <c r="K90" s="179"/>
      <c r="L90" s="230">
        <f t="shared" si="9"/>
        <v>0</v>
      </c>
      <c r="M90" s="230">
        <f t="shared" si="9"/>
        <v>0</v>
      </c>
      <c r="N90" s="230">
        <f t="shared" si="9"/>
        <v>0</v>
      </c>
    </row>
    <row r="91" spans="1:14" hidden="1" outlineLevel="2">
      <c r="C91" s="73" t="str">
        <v>SpareOfferA32</v>
      </c>
      <c r="D91" t="s">
        <v>301</v>
      </c>
      <c r="F91" s="180">
        <f t="shared" si="7"/>
        <v>0</v>
      </c>
      <c r="G91" s="179"/>
      <c r="H91" s="230">
        <f t="shared" si="8"/>
        <v>0</v>
      </c>
      <c r="I91" s="230">
        <f t="shared" si="8"/>
        <v>0</v>
      </c>
      <c r="J91" s="230">
        <f t="shared" si="8"/>
        <v>0</v>
      </c>
      <c r="K91" s="179"/>
      <c r="L91" s="230">
        <f t="shared" si="9"/>
        <v>0</v>
      </c>
      <c r="M91" s="230">
        <f t="shared" si="9"/>
        <v>0</v>
      </c>
      <c r="N91" s="230">
        <f t="shared" si="9"/>
        <v>0</v>
      </c>
    </row>
    <row r="92" spans="1:14" hidden="1" outlineLevel="2">
      <c r="C92" s="73" t="str">
        <v>SpareOfferA33</v>
      </c>
      <c r="D92" t="s">
        <v>301</v>
      </c>
      <c r="F92" s="180">
        <f t="shared" si="7"/>
        <v>0</v>
      </c>
      <c r="G92" s="179"/>
      <c r="H92" s="230">
        <f t="shared" si="8"/>
        <v>0</v>
      </c>
      <c r="I92" s="230">
        <f t="shared" si="8"/>
        <v>0</v>
      </c>
      <c r="J92" s="230">
        <f t="shared" si="8"/>
        <v>0</v>
      </c>
      <c r="K92" s="179"/>
      <c r="L92" s="230">
        <f t="shared" si="9"/>
        <v>0</v>
      </c>
      <c r="M92" s="230">
        <f t="shared" si="9"/>
        <v>0</v>
      </c>
      <c r="N92" s="230">
        <f t="shared" si="9"/>
        <v>0</v>
      </c>
    </row>
    <row r="93" spans="1:14" hidden="1" outlineLevel="2">
      <c r="C93" s="73" t="str">
        <v>SpareOfferA34</v>
      </c>
      <c r="D93" t="s">
        <v>301</v>
      </c>
      <c r="F93" s="180">
        <f t="shared" si="7"/>
        <v>0</v>
      </c>
      <c r="G93" s="179"/>
      <c r="H93" s="230">
        <f t="shared" si="8"/>
        <v>0</v>
      </c>
      <c r="I93" s="230">
        <f t="shared" si="8"/>
        <v>0</v>
      </c>
      <c r="J93" s="230">
        <f t="shared" si="8"/>
        <v>0</v>
      </c>
      <c r="K93" s="179"/>
      <c r="L93" s="230">
        <f t="shared" si="9"/>
        <v>0</v>
      </c>
      <c r="M93" s="230">
        <f t="shared" si="9"/>
        <v>0</v>
      </c>
      <c r="N93" s="230">
        <f t="shared" si="9"/>
        <v>0</v>
      </c>
    </row>
    <row r="94" spans="1:14" outlineLevel="1" collapsed="1">
      <c r="C94" s="73" t="str">
        <v>SpareOfferA35</v>
      </c>
      <c r="D94" t="s">
        <v>301</v>
      </c>
      <c r="F94" s="180">
        <f t="shared" si="7"/>
        <v>0</v>
      </c>
      <c r="G94" s="179"/>
      <c r="H94" s="230">
        <f t="shared" si="8"/>
        <v>0</v>
      </c>
      <c r="I94" s="230">
        <f t="shared" si="8"/>
        <v>0</v>
      </c>
      <c r="J94" s="230">
        <f t="shared" si="8"/>
        <v>0</v>
      </c>
      <c r="K94" s="179"/>
      <c r="L94" s="230">
        <f t="shared" si="9"/>
        <v>0</v>
      </c>
      <c r="M94" s="230">
        <f t="shared" si="9"/>
        <v>0</v>
      </c>
      <c r="N94" s="230">
        <f t="shared" si="9"/>
        <v>0</v>
      </c>
    </row>
    <row r="96" spans="1:14" s="220" customFormat="1">
      <c r="A96" s="220">
        <v>2</v>
      </c>
      <c r="B96" s="221" t="str">
        <f>INDEX(segments,A96)</f>
        <v>Business</v>
      </c>
      <c r="C96" s="207"/>
    </row>
    <row r="97" spans="2:14" outlineLevel="1"/>
    <row r="98" spans="2:14" outlineLevel="1">
      <c r="B98" s="91" t="s">
        <v>193</v>
      </c>
      <c r="H98" s="119" t="s">
        <v>300</v>
      </c>
      <c r="I98" s="119"/>
      <c r="J98" s="119"/>
      <c r="L98" s="119" t="s">
        <v>299</v>
      </c>
      <c r="M98" s="119"/>
      <c r="N98" s="119"/>
    </row>
    <row r="99" spans="2:14" ht="23.25" customHeight="1" outlineLevel="1">
      <c r="H99" s="1" t="str">
        <f t="array" ref="H99:J99">TRANSPOSE(destination.IC)</f>
        <v>Off-net fixed</v>
      </c>
      <c r="I99" s="1" t="str">
        <v>Off-net mobile</v>
      </c>
      <c r="J99" s="1" t="str">
        <v>International</v>
      </c>
      <c r="L99" s="1" t="str">
        <f t="array" ref="L99:N99">TRANSPOSE(destination.IC)</f>
        <v>Off-net fixed</v>
      </c>
      <c r="M99" s="1" t="str">
        <v>Off-net mobile</v>
      </c>
      <c r="N99" s="1" t="str">
        <v>International</v>
      </c>
    </row>
    <row r="100" spans="2:14" outlineLevel="1">
      <c r="C100" t="s">
        <v>193</v>
      </c>
      <c r="D100" t="s">
        <v>282</v>
      </c>
      <c r="H100" s="241">
        <f t="array" ref="H100:J100">Out.term.voice</f>
        <v>0</v>
      </c>
      <c r="I100" s="241">
        <v>0</v>
      </c>
      <c r="J100" s="241">
        <v>0</v>
      </c>
      <c r="L100" s="241">
        <f t="array" ref="L100:N100">Out.term.SMS</f>
        <v>0</v>
      </c>
      <c r="M100" s="241">
        <v>0</v>
      </c>
      <c r="N100" s="241">
        <v>0</v>
      </c>
    </row>
    <row r="101" spans="2:14" outlineLevel="1"/>
    <row r="102" spans="2:14" ht="23" outlineLevel="1">
      <c r="B102" s="91" t="s">
        <v>194</v>
      </c>
      <c r="F102" s="119" t="s">
        <v>223</v>
      </c>
      <c r="H102" s="119" t="s">
        <v>300</v>
      </c>
      <c r="I102" s="119"/>
      <c r="J102" s="119"/>
      <c r="L102" s="119" t="s">
        <v>299</v>
      </c>
      <c r="M102" s="119"/>
      <c r="N102" s="119"/>
    </row>
    <row r="103" spans="2:14" ht="23" outlineLevel="1">
      <c r="F103" s="119"/>
      <c r="H103" s="1" t="str">
        <f t="array" ref="H103:J103">TRANSPOSE(destination.IC)</f>
        <v>Off-net fixed</v>
      </c>
      <c r="I103" s="1" t="str">
        <v>Off-net mobile</v>
      </c>
      <c r="J103" s="1" t="str">
        <v>International</v>
      </c>
      <c r="L103" s="1" t="str">
        <f t="array" ref="L103:N103">TRANSPOSE(destination.IC)</f>
        <v>Off-net fixed</v>
      </c>
      <c r="M103" s="1" t="str">
        <v>Off-net mobile</v>
      </c>
      <c r="N103" s="1" t="str">
        <v>International</v>
      </c>
    </row>
    <row r="104" spans="2:14" outlineLevel="1">
      <c r="C104" s="91" t="s">
        <v>222</v>
      </c>
      <c r="D104" t="s">
        <v>174</v>
      </c>
      <c r="H104" s="94">
        <f>SUMPRODUCT(H105:H139,$F105:$F139)</f>
        <v>0</v>
      </c>
      <c r="I104" s="94">
        <f t="shared" ref="I104:J104" si="10">SUMPRODUCT(I105:I139,$F105:$F139)</f>
        <v>0</v>
      </c>
      <c r="J104" s="94">
        <f t="shared" si="10"/>
        <v>0</v>
      </c>
      <c r="L104" s="94">
        <f t="shared" ref="L104:N104" si="11">SUMPRODUCT(L105:L139,$F105:$F139)</f>
        <v>0</v>
      </c>
      <c r="M104" s="94">
        <f t="shared" si="11"/>
        <v>0</v>
      </c>
      <c r="N104" s="94">
        <f t="shared" si="11"/>
        <v>0</v>
      </c>
    </row>
    <row r="105" spans="2:14" outlineLevel="1">
      <c r="C105" s="73" t="str">
        <f t="array" ref="C105:C139">offers.segment.2</f>
        <v>SpareOfferB1</v>
      </c>
      <c r="D105" t="s">
        <v>174</v>
      </c>
      <c r="F105" s="87">
        <f t="array" ref="F105:F139">subscription.split.segment.2</f>
        <v>0</v>
      </c>
      <c r="H105" s="240">
        <f t="array" ref="H105:J139">out.IC.min.per.month.segment.2</f>
        <v>0</v>
      </c>
      <c r="I105" s="240">
        <v>0</v>
      </c>
      <c r="J105" s="240">
        <v>0</v>
      </c>
      <c r="K105" s="178"/>
      <c r="L105" s="240">
        <f t="array" ref="L105:N139">out.IC.SMS.per.month.segment.2</f>
        <v>0</v>
      </c>
      <c r="M105" s="240">
        <v>0</v>
      </c>
      <c r="N105" s="240">
        <v>0</v>
      </c>
    </row>
    <row r="106" spans="2:14" hidden="1" outlineLevel="2">
      <c r="C106" s="73" t="str">
        <v>SpareOfferB2</v>
      </c>
      <c r="D106" t="s">
        <v>174</v>
      </c>
      <c r="F106" s="87">
        <v>0</v>
      </c>
      <c r="H106" s="240">
        <v>0</v>
      </c>
      <c r="I106" s="240">
        <v>0</v>
      </c>
      <c r="J106" s="240">
        <v>0</v>
      </c>
      <c r="K106" s="178"/>
      <c r="L106" s="240">
        <v>0</v>
      </c>
      <c r="M106" s="240">
        <v>0</v>
      </c>
      <c r="N106" s="240">
        <v>0</v>
      </c>
    </row>
    <row r="107" spans="2:14" hidden="1" outlineLevel="2">
      <c r="C107" s="73" t="str">
        <v>SpareOfferB3</v>
      </c>
      <c r="D107" t="s">
        <v>174</v>
      </c>
      <c r="F107" s="87">
        <v>0</v>
      </c>
      <c r="H107" s="240">
        <v>0</v>
      </c>
      <c r="I107" s="240">
        <v>0</v>
      </c>
      <c r="J107" s="240">
        <v>0</v>
      </c>
      <c r="K107" s="178"/>
      <c r="L107" s="240">
        <v>0</v>
      </c>
      <c r="M107" s="240">
        <v>0</v>
      </c>
      <c r="N107" s="240">
        <v>0</v>
      </c>
    </row>
    <row r="108" spans="2:14" hidden="1" outlineLevel="2">
      <c r="C108" s="73" t="str">
        <v>SpareOfferB4</v>
      </c>
      <c r="D108" t="s">
        <v>174</v>
      </c>
      <c r="F108" s="87">
        <v>0</v>
      </c>
      <c r="H108" s="240">
        <v>0</v>
      </c>
      <c r="I108" s="240">
        <v>0</v>
      </c>
      <c r="J108" s="240">
        <v>0</v>
      </c>
      <c r="K108" s="178"/>
      <c r="L108" s="240">
        <v>0</v>
      </c>
      <c r="M108" s="240">
        <v>0</v>
      </c>
      <c r="N108" s="240">
        <v>0</v>
      </c>
    </row>
    <row r="109" spans="2:14" hidden="1" outlineLevel="2">
      <c r="C109" s="73" t="str">
        <v>SpareOfferB5</v>
      </c>
      <c r="D109" t="s">
        <v>174</v>
      </c>
      <c r="F109" s="87">
        <v>0</v>
      </c>
      <c r="H109" s="240">
        <v>0</v>
      </c>
      <c r="I109" s="240">
        <v>0</v>
      </c>
      <c r="J109" s="240">
        <v>0</v>
      </c>
      <c r="K109" s="178"/>
      <c r="L109" s="240">
        <v>0</v>
      </c>
      <c r="M109" s="240">
        <v>0</v>
      </c>
      <c r="N109" s="240">
        <v>0</v>
      </c>
    </row>
    <row r="110" spans="2:14" hidden="1" outlineLevel="2">
      <c r="C110" s="73" t="str">
        <v>SpareOfferB6</v>
      </c>
      <c r="D110" t="s">
        <v>174</v>
      </c>
      <c r="F110" s="87">
        <v>0</v>
      </c>
      <c r="H110" s="240">
        <v>0</v>
      </c>
      <c r="I110" s="240">
        <v>0</v>
      </c>
      <c r="J110" s="240">
        <v>0</v>
      </c>
      <c r="K110" s="178"/>
      <c r="L110" s="240">
        <v>0</v>
      </c>
      <c r="M110" s="240">
        <v>0</v>
      </c>
      <c r="N110" s="240">
        <v>0</v>
      </c>
    </row>
    <row r="111" spans="2:14" hidden="1" outlineLevel="2">
      <c r="C111" s="73" t="str">
        <v>SpareOfferB7</v>
      </c>
      <c r="D111" t="s">
        <v>174</v>
      </c>
      <c r="F111" s="87">
        <v>0</v>
      </c>
      <c r="H111" s="240">
        <v>0</v>
      </c>
      <c r="I111" s="240">
        <v>0</v>
      </c>
      <c r="J111" s="240">
        <v>0</v>
      </c>
      <c r="K111" s="178"/>
      <c r="L111" s="240">
        <v>0</v>
      </c>
      <c r="M111" s="240">
        <v>0</v>
      </c>
      <c r="N111" s="240">
        <v>0</v>
      </c>
    </row>
    <row r="112" spans="2:14" hidden="1" outlineLevel="2">
      <c r="C112" s="73" t="str">
        <v>SpareOfferB8</v>
      </c>
      <c r="D112" t="s">
        <v>174</v>
      </c>
      <c r="F112" s="87">
        <v>0</v>
      </c>
      <c r="H112" s="240">
        <v>0</v>
      </c>
      <c r="I112" s="240">
        <v>0</v>
      </c>
      <c r="J112" s="240">
        <v>0</v>
      </c>
      <c r="K112" s="178"/>
      <c r="L112" s="240">
        <v>0</v>
      </c>
      <c r="M112" s="240">
        <v>0</v>
      </c>
      <c r="N112" s="240">
        <v>0</v>
      </c>
    </row>
    <row r="113" spans="3:14" hidden="1" outlineLevel="2">
      <c r="C113" s="73" t="str">
        <v>SpareOfferB9</v>
      </c>
      <c r="D113" t="s">
        <v>174</v>
      </c>
      <c r="F113" s="87">
        <v>0</v>
      </c>
      <c r="H113" s="240">
        <v>0</v>
      </c>
      <c r="I113" s="240">
        <v>0</v>
      </c>
      <c r="J113" s="240">
        <v>0</v>
      </c>
      <c r="K113" s="178"/>
      <c r="L113" s="240">
        <v>0</v>
      </c>
      <c r="M113" s="240">
        <v>0</v>
      </c>
      <c r="N113" s="240">
        <v>0</v>
      </c>
    </row>
    <row r="114" spans="3:14" hidden="1" outlineLevel="2">
      <c r="C114" s="73" t="str">
        <v>SpareOfferB10</v>
      </c>
      <c r="D114" t="s">
        <v>174</v>
      </c>
      <c r="F114" s="87">
        <v>0</v>
      </c>
      <c r="H114" s="240">
        <v>0</v>
      </c>
      <c r="I114" s="240">
        <v>0</v>
      </c>
      <c r="J114" s="240">
        <v>0</v>
      </c>
      <c r="K114" s="178"/>
      <c r="L114" s="240">
        <v>0</v>
      </c>
      <c r="M114" s="240">
        <v>0</v>
      </c>
      <c r="N114" s="240">
        <v>0</v>
      </c>
    </row>
    <row r="115" spans="3:14" hidden="1" outlineLevel="2">
      <c r="C115" s="73" t="str">
        <v>SpareOfferB11</v>
      </c>
      <c r="D115" t="s">
        <v>174</v>
      </c>
      <c r="F115" s="87">
        <v>0</v>
      </c>
      <c r="H115" s="240">
        <v>0</v>
      </c>
      <c r="I115" s="240">
        <v>0</v>
      </c>
      <c r="J115" s="240">
        <v>0</v>
      </c>
      <c r="K115" s="178"/>
      <c r="L115" s="240">
        <v>0</v>
      </c>
      <c r="M115" s="240">
        <v>0</v>
      </c>
      <c r="N115" s="240">
        <v>0</v>
      </c>
    </row>
    <row r="116" spans="3:14" hidden="1" outlineLevel="2">
      <c r="C116" s="73" t="str">
        <v>SpareOfferB12</v>
      </c>
      <c r="D116" t="s">
        <v>174</v>
      </c>
      <c r="F116" s="87">
        <v>0</v>
      </c>
      <c r="H116" s="240">
        <v>0</v>
      </c>
      <c r="I116" s="240">
        <v>0</v>
      </c>
      <c r="J116" s="240">
        <v>0</v>
      </c>
      <c r="K116" s="178"/>
      <c r="L116" s="240">
        <v>0</v>
      </c>
      <c r="M116" s="240">
        <v>0</v>
      </c>
      <c r="N116" s="240">
        <v>0</v>
      </c>
    </row>
    <row r="117" spans="3:14" hidden="1" outlineLevel="2">
      <c r="C117" s="73" t="str">
        <v>SpareOfferB13</v>
      </c>
      <c r="D117" t="s">
        <v>174</v>
      </c>
      <c r="F117" s="87">
        <v>0</v>
      </c>
      <c r="H117" s="240">
        <v>0</v>
      </c>
      <c r="I117" s="240">
        <v>0</v>
      </c>
      <c r="J117" s="240">
        <v>0</v>
      </c>
      <c r="K117" s="178"/>
      <c r="L117" s="240">
        <v>0</v>
      </c>
      <c r="M117" s="240">
        <v>0</v>
      </c>
      <c r="N117" s="240">
        <v>0</v>
      </c>
    </row>
    <row r="118" spans="3:14" hidden="1" outlineLevel="2">
      <c r="C118" s="73" t="str">
        <v>SpareOfferB14</v>
      </c>
      <c r="D118" t="s">
        <v>174</v>
      </c>
      <c r="F118" s="87">
        <v>0</v>
      </c>
      <c r="H118" s="240">
        <v>0</v>
      </c>
      <c r="I118" s="240">
        <v>0</v>
      </c>
      <c r="J118" s="240">
        <v>0</v>
      </c>
      <c r="K118" s="178"/>
      <c r="L118" s="240">
        <v>0</v>
      </c>
      <c r="M118" s="240">
        <v>0</v>
      </c>
      <c r="N118" s="240">
        <v>0</v>
      </c>
    </row>
    <row r="119" spans="3:14" hidden="1" outlineLevel="2">
      <c r="C119" s="73" t="str">
        <v>SpareOfferB15</v>
      </c>
      <c r="D119" t="s">
        <v>174</v>
      </c>
      <c r="F119" s="87">
        <v>0</v>
      </c>
      <c r="H119" s="240">
        <v>0</v>
      </c>
      <c r="I119" s="240">
        <v>0</v>
      </c>
      <c r="J119" s="240">
        <v>0</v>
      </c>
      <c r="K119" s="178"/>
      <c r="L119" s="240">
        <v>0</v>
      </c>
      <c r="M119" s="240">
        <v>0</v>
      </c>
      <c r="N119" s="240">
        <v>0</v>
      </c>
    </row>
    <row r="120" spans="3:14" hidden="1" outlineLevel="2">
      <c r="C120" s="73" t="str">
        <v>SpareOfferB16</v>
      </c>
      <c r="D120" t="s">
        <v>174</v>
      </c>
      <c r="F120" s="87">
        <v>0</v>
      </c>
      <c r="H120" s="240">
        <v>0</v>
      </c>
      <c r="I120" s="240">
        <v>0</v>
      </c>
      <c r="J120" s="240">
        <v>0</v>
      </c>
      <c r="K120" s="178"/>
      <c r="L120" s="240">
        <v>0</v>
      </c>
      <c r="M120" s="240">
        <v>0</v>
      </c>
      <c r="N120" s="240">
        <v>0</v>
      </c>
    </row>
    <row r="121" spans="3:14" hidden="1" outlineLevel="2">
      <c r="C121" s="73" t="str">
        <v>SpareOfferB17</v>
      </c>
      <c r="D121" t="s">
        <v>174</v>
      </c>
      <c r="F121" s="87">
        <v>0</v>
      </c>
      <c r="H121" s="240">
        <v>0</v>
      </c>
      <c r="I121" s="240">
        <v>0</v>
      </c>
      <c r="J121" s="240">
        <v>0</v>
      </c>
      <c r="K121" s="178"/>
      <c r="L121" s="240">
        <v>0</v>
      </c>
      <c r="M121" s="240">
        <v>0</v>
      </c>
      <c r="N121" s="240">
        <v>0</v>
      </c>
    </row>
    <row r="122" spans="3:14" hidden="1" outlineLevel="2">
      <c r="C122" s="73" t="str">
        <v>SpareOfferB18</v>
      </c>
      <c r="D122" t="s">
        <v>174</v>
      </c>
      <c r="F122" s="87">
        <v>0</v>
      </c>
      <c r="H122" s="240">
        <v>0</v>
      </c>
      <c r="I122" s="240">
        <v>0</v>
      </c>
      <c r="J122" s="240">
        <v>0</v>
      </c>
      <c r="K122" s="178"/>
      <c r="L122" s="240">
        <v>0</v>
      </c>
      <c r="M122" s="240">
        <v>0</v>
      </c>
      <c r="N122" s="240">
        <v>0</v>
      </c>
    </row>
    <row r="123" spans="3:14" hidden="1" outlineLevel="2">
      <c r="C123" s="73" t="str">
        <v>SpareOfferB19</v>
      </c>
      <c r="D123" t="s">
        <v>174</v>
      </c>
      <c r="F123" s="87">
        <v>0</v>
      </c>
      <c r="H123" s="240">
        <v>0</v>
      </c>
      <c r="I123" s="240">
        <v>0</v>
      </c>
      <c r="J123" s="240">
        <v>0</v>
      </c>
      <c r="K123" s="178"/>
      <c r="L123" s="240">
        <v>0</v>
      </c>
      <c r="M123" s="240">
        <v>0</v>
      </c>
      <c r="N123" s="240">
        <v>0</v>
      </c>
    </row>
    <row r="124" spans="3:14" hidden="1" outlineLevel="2">
      <c r="C124" s="73" t="str">
        <v>SpareOfferB20</v>
      </c>
      <c r="D124" t="s">
        <v>174</v>
      </c>
      <c r="F124" s="87">
        <v>0</v>
      </c>
      <c r="H124" s="240">
        <v>0</v>
      </c>
      <c r="I124" s="240">
        <v>0</v>
      </c>
      <c r="J124" s="240">
        <v>0</v>
      </c>
      <c r="K124" s="178"/>
      <c r="L124" s="240">
        <v>0</v>
      </c>
      <c r="M124" s="240">
        <v>0</v>
      </c>
      <c r="N124" s="240">
        <v>0</v>
      </c>
    </row>
    <row r="125" spans="3:14" hidden="1" outlineLevel="2">
      <c r="C125" s="73" t="str">
        <v>SpareOfferB21</v>
      </c>
      <c r="D125" t="s">
        <v>174</v>
      </c>
      <c r="F125" s="87">
        <v>0</v>
      </c>
      <c r="H125" s="240">
        <v>0</v>
      </c>
      <c r="I125" s="240">
        <v>0</v>
      </c>
      <c r="J125" s="240">
        <v>0</v>
      </c>
      <c r="K125" s="178"/>
      <c r="L125" s="240">
        <v>0</v>
      </c>
      <c r="M125" s="240">
        <v>0</v>
      </c>
      <c r="N125" s="240">
        <v>0</v>
      </c>
    </row>
    <row r="126" spans="3:14" hidden="1" outlineLevel="2">
      <c r="C126" s="73" t="str">
        <v>SpareOfferB22</v>
      </c>
      <c r="D126" t="s">
        <v>174</v>
      </c>
      <c r="F126" s="87">
        <v>0</v>
      </c>
      <c r="H126" s="240">
        <v>0</v>
      </c>
      <c r="I126" s="240">
        <v>0</v>
      </c>
      <c r="J126" s="240">
        <v>0</v>
      </c>
      <c r="K126" s="178"/>
      <c r="L126" s="240">
        <v>0</v>
      </c>
      <c r="M126" s="240">
        <v>0</v>
      </c>
      <c r="N126" s="240">
        <v>0</v>
      </c>
    </row>
    <row r="127" spans="3:14" hidden="1" outlineLevel="2">
      <c r="C127" s="73" t="str">
        <v>SpareOfferB23</v>
      </c>
      <c r="D127" t="s">
        <v>174</v>
      </c>
      <c r="F127" s="87">
        <v>0</v>
      </c>
      <c r="H127" s="240">
        <v>0</v>
      </c>
      <c r="I127" s="240">
        <v>0</v>
      </c>
      <c r="J127" s="240">
        <v>0</v>
      </c>
      <c r="K127" s="178"/>
      <c r="L127" s="240">
        <v>0</v>
      </c>
      <c r="M127" s="240">
        <v>0</v>
      </c>
      <c r="N127" s="240">
        <v>0</v>
      </c>
    </row>
    <row r="128" spans="3:14" hidden="1" outlineLevel="2">
      <c r="C128" s="73" t="str">
        <v>SpareOfferB24</v>
      </c>
      <c r="D128" t="s">
        <v>174</v>
      </c>
      <c r="F128" s="87">
        <v>0</v>
      </c>
      <c r="H128" s="240">
        <v>0</v>
      </c>
      <c r="I128" s="240">
        <v>0</v>
      </c>
      <c r="J128" s="240">
        <v>0</v>
      </c>
      <c r="K128" s="178"/>
      <c r="L128" s="240">
        <v>0</v>
      </c>
      <c r="M128" s="240">
        <v>0</v>
      </c>
      <c r="N128" s="240">
        <v>0</v>
      </c>
    </row>
    <row r="129" spans="2:14" hidden="1" outlineLevel="2">
      <c r="C129" s="73" t="str">
        <v>SpareOfferB25</v>
      </c>
      <c r="D129" t="s">
        <v>174</v>
      </c>
      <c r="F129" s="87">
        <v>0</v>
      </c>
      <c r="H129" s="240">
        <v>0</v>
      </c>
      <c r="I129" s="240">
        <v>0</v>
      </c>
      <c r="J129" s="240">
        <v>0</v>
      </c>
      <c r="K129" s="178"/>
      <c r="L129" s="240">
        <v>0</v>
      </c>
      <c r="M129" s="240">
        <v>0</v>
      </c>
      <c r="N129" s="240">
        <v>0</v>
      </c>
    </row>
    <row r="130" spans="2:14" hidden="1" outlineLevel="2">
      <c r="C130" s="73" t="str">
        <v>SpareOfferB26</v>
      </c>
      <c r="D130" t="s">
        <v>174</v>
      </c>
      <c r="F130" s="87">
        <v>0</v>
      </c>
      <c r="H130" s="240">
        <v>0</v>
      </c>
      <c r="I130" s="240">
        <v>0</v>
      </c>
      <c r="J130" s="240">
        <v>0</v>
      </c>
      <c r="K130" s="178"/>
      <c r="L130" s="240">
        <v>0</v>
      </c>
      <c r="M130" s="240">
        <v>0</v>
      </c>
      <c r="N130" s="240">
        <v>0</v>
      </c>
    </row>
    <row r="131" spans="2:14" hidden="1" outlineLevel="2">
      <c r="C131" s="73" t="str">
        <v>SpareOfferB27</v>
      </c>
      <c r="D131" t="s">
        <v>174</v>
      </c>
      <c r="F131" s="87">
        <v>0</v>
      </c>
      <c r="H131" s="240">
        <v>0</v>
      </c>
      <c r="I131" s="240">
        <v>0</v>
      </c>
      <c r="J131" s="240">
        <v>0</v>
      </c>
      <c r="K131" s="178"/>
      <c r="L131" s="240">
        <v>0</v>
      </c>
      <c r="M131" s="240">
        <v>0</v>
      </c>
      <c r="N131" s="240">
        <v>0</v>
      </c>
    </row>
    <row r="132" spans="2:14" hidden="1" outlineLevel="2">
      <c r="C132" s="73" t="str">
        <v>SpareOfferB28</v>
      </c>
      <c r="D132" t="s">
        <v>174</v>
      </c>
      <c r="F132" s="87">
        <v>0</v>
      </c>
      <c r="H132" s="240">
        <v>0</v>
      </c>
      <c r="I132" s="240">
        <v>0</v>
      </c>
      <c r="J132" s="240">
        <v>0</v>
      </c>
      <c r="K132" s="178"/>
      <c r="L132" s="240">
        <v>0</v>
      </c>
      <c r="M132" s="240">
        <v>0</v>
      </c>
      <c r="N132" s="240">
        <v>0</v>
      </c>
    </row>
    <row r="133" spans="2:14" hidden="1" outlineLevel="2">
      <c r="C133" s="73" t="str">
        <v>SpareOfferB29</v>
      </c>
      <c r="D133" t="s">
        <v>174</v>
      </c>
      <c r="F133" s="87">
        <v>0</v>
      </c>
      <c r="H133" s="240">
        <v>0</v>
      </c>
      <c r="I133" s="240">
        <v>0</v>
      </c>
      <c r="J133" s="240">
        <v>0</v>
      </c>
      <c r="K133" s="178"/>
      <c r="L133" s="240">
        <v>0</v>
      </c>
      <c r="M133" s="240">
        <v>0</v>
      </c>
      <c r="N133" s="240">
        <v>0</v>
      </c>
    </row>
    <row r="134" spans="2:14" hidden="1" outlineLevel="2">
      <c r="C134" s="73" t="str">
        <v>SpareOfferB30</v>
      </c>
      <c r="D134" t="s">
        <v>174</v>
      </c>
      <c r="F134" s="87">
        <v>0</v>
      </c>
      <c r="H134" s="240">
        <v>0</v>
      </c>
      <c r="I134" s="240">
        <v>0</v>
      </c>
      <c r="J134" s="240">
        <v>0</v>
      </c>
      <c r="K134" s="178"/>
      <c r="L134" s="240">
        <v>0</v>
      </c>
      <c r="M134" s="240">
        <v>0</v>
      </c>
      <c r="N134" s="240">
        <v>0</v>
      </c>
    </row>
    <row r="135" spans="2:14" hidden="1" outlineLevel="2">
      <c r="C135" s="73" t="str">
        <v>SpareOfferB31</v>
      </c>
      <c r="D135" t="s">
        <v>174</v>
      </c>
      <c r="F135" s="87">
        <v>0</v>
      </c>
      <c r="H135" s="240">
        <v>0</v>
      </c>
      <c r="I135" s="240">
        <v>0</v>
      </c>
      <c r="J135" s="240">
        <v>0</v>
      </c>
      <c r="K135" s="178"/>
      <c r="L135" s="240">
        <v>0</v>
      </c>
      <c r="M135" s="240">
        <v>0</v>
      </c>
      <c r="N135" s="240">
        <v>0</v>
      </c>
    </row>
    <row r="136" spans="2:14" hidden="1" outlineLevel="2">
      <c r="C136" s="73" t="str">
        <v>SpareOfferB32</v>
      </c>
      <c r="D136" t="s">
        <v>174</v>
      </c>
      <c r="F136" s="87">
        <v>0</v>
      </c>
      <c r="H136" s="240">
        <v>0</v>
      </c>
      <c r="I136" s="240">
        <v>0</v>
      </c>
      <c r="J136" s="240">
        <v>0</v>
      </c>
      <c r="K136" s="178"/>
      <c r="L136" s="240">
        <v>0</v>
      </c>
      <c r="M136" s="240">
        <v>0</v>
      </c>
      <c r="N136" s="240">
        <v>0</v>
      </c>
    </row>
    <row r="137" spans="2:14" hidden="1" outlineLevel="2">
      <c r="C137" s="73" t="str">
        <v>SpareOfferB33</v>
      </c>
      <c r="D137" t="s">
        <v>174</v>
      </c>
      <c r="F137" s="87">
        <v>0</v>
      </c>
      <c r="H137" s="240">
        <v>0</v>
      </c>
      <c r="I137" s="240">
        <v>0</v>
      </c>
      <c r="J137" s="240">
        <v>0</v>
      </c>
      <c r="K137" s="178"/>
      <c r="L137" s="240">
        <v>0</v>
      </c>
      <c r="M137" s="240">
        <v>0</v>
      </c>
      <c r="N137" s="240">
        <v>0</v>
      </c>
    </row>
    <row r="138" spans="2:14" hidden="1" outlineLevel="2">
      <c r="C138" s="73" t="str">
        <v>SpareOfferB34</v>
      </c>
      <c r="D138" t="s">
        <v>174</v>
      </c>
      <c r="F138" s="87">
        <v>0</v>
      </c>
      <c r="H138" s="240">
        <v>0</v>
      </c>
      <c r="I138" s="240">
        <v>0</v>
      </c>
      <c r="J138" s="240">
        <v>0</v>
      </c>
      <c r="K138" s="178"/>
      <c r="L138" s="240">
        <v>0</v>
      </c>
      <c r="M138" s="240">
        <v>0</v>
      </c>
      <c r="N138" s="240">
        <v>0</v>
      </c>
    </row>
    <row r="139" spans="2:14" outlineLevel="1" collapsed="1">
      <c r="C139" s="73" t="str">
        <v>SpareOfferB35</v>
      </c>
      <c r="D139" t="s">
        <v>174</v>
      </c>
      <c r="F139" s="87">
        <v>0</v>
      </c>
      <c r="H139" s="240">
        <v>0</v>
      </c>
      <c r="I139" s="240">
        <v>0</v>
      </c>
      <c r="J139" s="240">
        <v>0</v>
      </c>
      <c r="K139" s="178"/>
      <c r="L139" s="240">
        <v>0</v>
      </c>
      <c r="M139" s="240">
        <v>0</v>
      </c>
      <c r="N139" s="240">
        <v>0</v>
      </c>
    </row>
    <row r="140" spans="2:14" outlineLevel="1"/>
    <row r="141" spans="2:14" ht="12.75" customHeight="1" outlineLevel="1">
      <c r="B141" s="91" t="s">
        <v>219</v>
      </c>
      <c r="F141" s="127" t="s">
        <v>190</v>
      </c>
      <c r="H141" s="119" t="s">
        <v>300</v>
      </c>
      <c r="I141" s="119"/>
      <c r="J141" s="119"/>
      <c r="L141" s="119" t="s">
        <v>299</v>
      </c>
      <c r="M141" s="119"/>
      <c r="N141" s="119"/>
    </row>
    <row r="142" spans="2:14" ht="23" outlineLevel="1">
      <c r="F142" s="127"/>
      <c r="H142" s="1" t="str">
        <f t="array" ref="H142:J142">TRANSPOSE(destination.IC)</f>
        <v>Off-net fixed</v>
      </c>
      <c r="I142" s="1" t="str">
        <v>Off-net mobile</v>
      </c>
      <c r="J142" s="1" t="str">
        <v>International</v>
      </c>
      <c r="L142" s="1" t="str">
        <f t="array" ref="L142:N142">TRANSPOSE(destination.IC)</f>
        <v>Off-net fixed</v>
      </c>
      <c r="M142" s="1" t="str">
        <v>Off-net mobile</v>
      </c>
      <c r="N142" s="1" t="str">
        <v>International</v>
      </c>
    </row>
    <row r="143" spans="2:14" outlineLevel="1">
      <c r="C143" s="93" t="s">
        <v>339</v>
      </c>
      <c r="D143" t="s">
        <v>301</v>
      </c>
      <c r="F143" s="146">
        <f t="shared" ref="F143" si="12">SUM(H143:J143,L143:N143)</f>
        <v>0</v>
      </c>
      <c r="H143" s="231">
        <f t="shared" ref="H143:J143" si="13">H104*H$100</f>
        <v>0</v>
      </c>
      <c r="I143" s="231">
        <f t="shared" si="13"/>
        <v>0</v>
      </c>
      <c r="J143" s="231">
        <f t="shared" si="13"/>
        <v>0</v>
      </c>
      <c r="K143" s="231"/>
      <c r="L143" s="231">
        <f t="shared" ref="L143:N144" si="14">L104*L$100</f>
        <v>0</v>
      </c>
      <c r="M143" s="231">
        <f t="shared" si="14"/>
        <v>0</v>
      </c>
      <c r="N143" s="231">
        <f t="shared" si="14"/>
        <v>0</v>
      </c>
    </row>
    <row r="144" spans="2:14" outlineLevel="1">
      <c r="C144" s="73" t="str">
        <f t="array" ref="C144:C178">offers.segment.2</f>
        <v>SpareOfferB1</v>
      </c>
      <c r="D144" t="s">
        <v>301</v>
      </c>
      <c r="F144" s="180">
        <f>SUM(H144:J144,L144:N144)</f>
        <v>0</v>
      </c>
      <c r="H144" s="231">
        <f>H105*H$100</f>
        <v>0</v>
      </c>
      <c r="I144" s="231">
        <f>I105*I$100</f>
        <v>0</v>
      </c>
      <c r="J144" s="231">
        <f>J105*J$100</f>
        <v>0</v>
      </c>
      <c r="K144" s="231"/>
      <c r="L144" s="231">
        <f t="shared" si="14"/>
        <v>0</v>
      </c>
      <c r="M144" s="231">
        <f t="shared" si="14"/>
        <v>0</v>
      </c>
      <c r="N144" s="231">
        <f t="shared" si="14"/>
        <v>0</v>
      </c>
    </row>
    <row r="145" spans="3:14" hidden="1" outlineLevel="2">
      <c r="C145" s="73" t="str">
        <v>SpareOfferB2</v>
      </c>
      <c r="D145" t="s">
        <v>301</v>
      </c>
      <c r="F145" s="180">
        <f t="shared" ref="F145:F178" si="15">SUM(H145:J145,L145:N145)</f>
        <v>0</v>
      </c>
      <c r="H145" s="231">
        <f t="shared" ref="H145:J145" si="16">H106*H$100</f>
        <v>0</v>
      </c>
      <c r="I145" s="231">
        <f t="shared" si="16"/>
        <v>0</v>
      </c>
      <c r="J145" s="231">
        <f t="shared" si="16"/>
        <v>0</v>
      </c>
      <c r="K145" s="231"/>
      <c r="L145" s="231">
        <f t="shared" ref="L145:N145" si="17">L106*L$100</f>
        <v>0</v>
      </c>
      <c r="M145" s="231">
        <f t="shared" si="17"/>
        <v>0</v>
      </c>
      <c r="N145" s="231">
        <f t="shared" si="17"/>
        <v>0</v>
      </c>
    </row>
    <row r="146" spans="3:14" hidden="1" outlineLevel="2">
      <c r="C146" s="73" t="str">
        <v>SpareOfferB3</v>
      </c>
      <c r="D146" t="s">
        <v>301</v>
      </c>
      <c r="F146" s="180">
        <f t="shared" si="15"/>
        <v>0</v>
      </c>
      <c r="H146" s="231">
        <f t="shared" ref="H146:J146" si="18">H107*H$100</f>
        <v>0</v>
      </c>
      <c r="I146" s="231">
        <f t="shared" si="18"/>
        <v>0</v>
      </c>
      <c r="J146" s="231">
        <f t="shared" si="18"/>
        <v>0</v>
      </c>
      <c r="K146" s="231"/>
      <c r="L146" s="231">
        <f t="shared" ref="L146:N146" si="19">L107*L$100</f>
        <v>0</v>
      </c>
      <c r="M146" s="231">
        <f t="shared" si="19"/>
        <v>0</v>
      </c>
      <c r="N146" s="231">
        <f t="shared" si="19"/>
        <v>0</v>
      </c>
    </row>
    <row r="147" spans="3:14" hidden="1" outlineLevel="2">
      <c r="C147" s="73" t="str">
        <v>SpareOfferB4</v>
      </c>
      <c r="D147" t="s">
        <v>301</v>
      </c>
      <c r="F147" s="180">
        <f t="shared" si="15"/>
        <v>0</v>
      </c>
      <c r="H147" s="231">
        <f t="shared" ref="H147:J147" si="20">H108*H$100</f>
        <v>0</v>
      </c>
      <c r="I147" s="231">
        <f t="shared" si="20"/>
        <v>0</v>
      </c>
      <c r="J147" s="231">
        <f t="shared" si="20"/>
        <v>0</v>
      </c>
      <c r="K147" s="231"/>
      <c r="L147" s="231">
        <f t="shared" ref="L147:N147" si="21">L108*L$100</f>
        <v>0</v>
      </c>
      <c r="M147" s="231">
        <f t="shared" si="21"/>
        <v>0</v>
      </c>
      <c r="N147" s="231">
        <f t="shared" si="21"/>
        <v>0</v>
      </c>
    </row>
    <row r="148" spans="3:14" hidden="1" outlineLevel="2">
      <c r="C148" s="73" t="str">
        <v>SpareOfferB5</v>
      </c>
      <c r="D148" t="s">
        <v>301</v>
      </c>
      <c r="F148" s="180">
        <f t="shared" si="15"/>
        <v>0</v>
      </c>
      <c r="H148" s="231">
        <f t="shared" ref="H148:J148" si="22">H109*H$100</f>
        <v>0</v>
      </c>
      <c r="I148" s="231">
        <f t="shared" si="22"/>
        <v>0</v>
      </c>
      <c r="J148" s="231">
        <f t="shared" si="22"/>
        <v>0</v>
      </c>
      <c r="K148" s="231"/>
      <c r="L148" s="231">
        <f t="shared" ref="L148:N148" si="23">L109*L$100</f>
        <v>0</v>
      </c>
      <c r="M148" s="231">
        <f t="shared" si="23"/>
        <v>0</v>
      </c>
      <c r="N148" s="231">
        <f t="shared" si="23"/>
        <v>0</v>
      </c>
    </row>
    <row r="149" spans="3:14" hidden="1" outlineLevel="2">
      <c r="C149" s="73" t="str">
        <v>SpareOfferB6</v>
      </c>
      <c r="D149" t="s">
        <v>301</v>
      </c>
      <c r="F149" s="180">
        <f t="shared" si="15"/>
        <v>0</v>
      </c>
      <c r="H149" s="231">
        <f t="shared" ref="H149:J149" si="24">H110*H$100</f>
        <v>0</v>
      </c>
      <c r="I149" s="231">
        <f t="shared" si="24"/>
        <v>0</v>
      </c>
      <c r="J149" s="231">
        <f t="shared" si="24"/>
        <v>0</v>
      </c>
      <c r="K149" s="231"/>
      <c r="L149" s="231">
        <f t="shared" ref="L149:N149" si="25">L110*L$100</f>
        <v>0</v>
      </c>
      <c r="M149" s="231">
        <f t="shared" si="25"/>
        <v>0</v>
      </c>
      <c r="N149" s="231">
        <f t="shared" si="25"/>
        <v>0</v>
      </c>
    </row>
    <row r="150" spans="3:14" hidden="1" outlineLevel="2">
      <c r="C150" s="73" t="str">
        <v>SpareOfferB7</v>
      </c>
      <c r="D150" t="s">
        <v>301</v>
      </c>
      <c r="F150" s="180">
        <f t="shared" si="15"/>
        <v>0</v>
      </c>
      <c r="H150" s="231">
        <f t="shared" ref="H150:J150" si="26">H111*H$100</f>
        <v>0</v>
      </c>
      <c r="I150" s="231">
        <f t="shared" si="26"/>
        <v>0</v>
      </c>
      <c r="J150" s="231">
        <f t="shared" si="26"/>
        <v>0</v>
      </c>
      <c r="K150" s="231"/>
      <c r="L150" s="231">
        <f t="shared" ref="L150:N150" si="27">L111*L$100</f>
        <v>0</v>
      </c>
      <c r="M150" s="231">
        <f t="shared" si="27"/>
        <v>0</v>
      </c>
      <c r="N150" s="231">
        <f t="shared" si="27"/>
        <v>0</v>
      </c>
    </row>
    <row r="151" spans="3:14" hidden="1" outlineLevel="2">
      <c r="C151" s="73" t="str">
        <v>SpareOfferB8</v>
      </c>
      <c r="D151" t="s">
        <v>301</v>
      </c>
      <c r="F151" s="180">
        <f t="shared" si="15"/>
        <v>0</v>
      </c>
      <c r="H151" s="231">
        <f t="shared" ref="H151:J151" si="28">H112*H$100</f>
        <v>0</v>
      </c>
      <c r="I151" s="231">
        <f t="shared" si="28"/>
        <v>0</v>
      </c>
      <c r="J151" s="231">
        <f t="shared" si="28"/>
        <v>0</v>
      </c>
      <c r="K151" s="231"/>
      <c r="L151" s="231">
        <f t="shared" ref="L151:N151" si="29">L112*L$100</f>
        <v>0</v>
      </c>
      <c r="M151" s="231">
        <f t="shared" si="29"/>
        <v>0</v>
      </c>
      <c r="N151" s="231">
        <f t="shared" si="29"/>
        <v>0</v>
      </c>
    </row>
    <row r="152" spans="3:14" hidden="1" outlineLevel="2">
      <c r="C152" s="73" t="str">
        <v>SpareOfferB9</v>
      </c>
      <c r="D152" t="s">
        <v>301</v>
      </c>
      <c r="F152" s="180">
        <f t="shared" si="15"/>
        <v>0</v>
      </c>
      <c r="H152" s="231">
        <f t="shared" ref="H152:J152" si="30">H113*H$100</f>
        <v>0</v>
      </c>
      <c r="I152" s="231">
        <f t="shared" si="30"/>
        <v>0</v>
      </c>
      <c r="J152" s="231">
        <f t="shared" si="30"/>
        <v>0</v>
      </c>
      <c r="K152" s="231"/>
      <c r="L152" s="231">
        <f t="shared" ref="L152:N152" si="31">L113*L$100</f>
        <v>0</v>
      </c>
      <c r="M152" s="231">
        <f t="shared" si="31"/>
        <v>0</v>
      </c>
      <c r="N152" s="231">
        <f t="shared" si="31"/>
        <v>0</v>
      </c>
    </row>
    <row r="153" spans="3:14" hidden="1" outlineLevel="2">
      <c r="C153" s="73" t="str">
        <v>SpareOfferB10</v>
      </c>
      <c r="D153" t="s">
        <v>301</v>
      </c>
      <c r="F153" s="180">
        <f t="shared" si="15"/>
        <v>0</v>
      </c>
      <c r="H153" s="231">
        <f t="shared" ref="H153:J153" si="32">H114*H$100</f>
        <v>0</v>
      </c>
      <c r="I153" s="231">
        <f t="shared" si="32"/>
        <v>0</v>
      </c>
      <c r="J153" s="231">
        <f t="shared" si="32"/>
        <v>0</v>
      </c>
      <c r="K153" s="231"/>
      <c r="L153" s="231">
        <f t="shared" ref="L153:N153" si="33">L114*L$100</f>
        <v>0</v>
      </c>
      <c r="M153" s="231">
        <f t="shared" si="33"/>
        <v>0</v>
      </c>
      <c r="N153" s="231">
        <f t="shared" si="33"/>
        <v>0</v>
      </c>
    </row>
    <row r="154" spans="3:14" hidden="1" outlineLevel="2">
      <c r="C154" s="73" t="str">
        <v>SpareOfferB11</v>
      </c>
      <c r="D154" t="s">
        <v>301</v>
      </c>
      <c r="F154" s="180">
        <f t="shared" si="15"/>
        <v>0</v>
      </c>
      <c r="H154" s="231">
        <f t="shared" ref="H154:J154" si="34">H115*H$100</f>
        <v>0</v>
      </c>
      <c r="I154" s="231">
        <f t="shared" si="34"/>
        <v>0</v>
      </c>
      <c r="J154" s="231">
        <f t="shared" si="34"/>
        <v>0</v>
      </c>
      <c r="K154" s="231"/>
      <c r="L154" s="231">
        <f t="shared" ref="L154:N154" si="35">L115*L$100</f>
        <v>0</v>
      </c>
      <c r="M154" s="231">
        <f t="shared" si="35"/>
        <v>0</v>
      </c>
      <c r="N154" s="231">
        <f t="shared" si="35"/>
        <v>0</v>
      </c>
    </row>
    <row r="155" spans="3:14" hidden="1" outlineLevel="2">
      <c r="C155" s="73" t="str">
        <v>SpareOfferB12</v>
      </c>
      <c r="D155" t="s">
        <v>301</v>
      </c>
      <c r="F155" s="180">
        <f t="shared" si="15"/>
        <v>0</v>
      </c>
      <c r="H155" s="231">
        <f t="shared" ref="H155:J155" si="36">H116*H$100</f>
        <v>0</v>
      </c>
      <c r="I155" s="231">
        <f t="shared" si="36"/>
        <v>0</v>
      </c>
      <c r="J155" s="231">
        <f t="shared" si="36"/>
        <v>0</v>
      </c>
      <c r="K155" s="231"/>
      <c r="L155" s="231">
        <f t="shared" ref="L155:N155" si="37">L116*L$100</f>
        <v>0</v>
      </c>
      <c r="M155" s="231">
        <f t="shared" si="37"/>
        <v>0</v>
      </c>
      <c r="N155" s="231">
        <f t="shared" si="37"/>
        <v>0</v>
      </c>
    </row>
    <row r="156" spans="3:14" hidden="1" outlineLevel="2">
      <c r="C156" s="73" t="str">
        <v>SpareOfferB13</v>
      </c>
      <c r="D156" t="s">
        <v>301</v>
      </c>
      <c r="F156" s="180">
        <f t="shared" si="15"/>
        <v>0</v>
      </c>
      <c r="H156" s="231">
        <f t="shared" ref="H156:J156" si="38">H117*H$100</f>
        <v>0</v>
      </c>
      <c r="I156" s="231">
        <f t="shared" si="38"/>
        <v>0</v>
      </c>
      <c r="J156" s="231">
        <f t="shared" si="38"/>
        <v>0</v>
      </c>
      <c r="K156" s="231"/>
      <c r="L156" s="231">
        <f t="shared" ref="L156:N156" si="39">L117*L$100</f>
        <v>0</v>
      </c>
      <c r="M156" s="231">
        <f t="shared" si="39"/>
        <v>0</v>
      </c>
      <c r="N156" s="231">
        <f t="shared" si="39"/>
        <v>0</v>
      </c>
    </row>
    <row r="157" spans="3:14" hidden="1" outlineLevel="2">
      <c r="C157" s="73" t="str">
        <v>SpareOfferB14</v>
      </c>
      <c r="D157" t="s">
        <v>301</v>
      </c>
      <c r="F157" s="180">
        <f t="shared" si="15"/>
        <v>0</v>
      </c>
      <c r="H157" s="231">
        <f t="shared" ref="H157:J157" si="40">H118*H$100</f>
        <v>0</v>
      </c>
      <c r="I157" s="231">
        <f t="shared" si="40"/>
        <v>0</v>
      </c>
      <c r="J157" s="231">
        <f t="shared" si="40"/>
        <v>0</v>
      </c>
      <c r="K157" s="231"/>
      <c r="L157" s="231">
        <f t="shared" ref="L157:N157" si="41">L118*L$100</f>
        <v>0</v>
      </c>
      <c r="M157" s="231">
        <f t="shared" si="41"/>
        <v>0</v>
      </c>
      <c r="N157" s="231">
        <f t="shared" si="41"/>
        <v>0</v>
      </c>
    </row>
    <row r="158" spans="3:14" hidden="1" outlineLevel="2">
      <c r="C158" s="73" t="str">
        <v>SpareOfferB15</v>
      </c>
      <c r="D158" t="s">
        <v>301</v>
      </c>
      <c r="F158" s="180">
        <f t="shared" si="15"/>
        <v>0</v>
      </c>
      <c r="H158" s="231">
        <f t="shared" ref="H158:J158" si="42">H119*H$100</f>
        <v>0</v>
      </c>
      <c r="I158" s="231">
        <f t="shared" si="42"/>
        <v>0</v>
      </c>
      <c r="J158" s="231">
        <f t="shared" si="42"/>
        <v>0</v>
      </c>
      <c r="K158" s="231"/>
      <c r="L158" s="231">
        <f t="shared" ref="L158:N158" si="43">L119*L$100</f>
        <v>0</v>
      </c>
      <c r="M158" s="231">
        <f t="shared" si="43"/>
        <v>0</v>
      </c>
      <c r="N158" s="231">
        <f t="shared" si="43"/>
        <v>0</v>
      </c>
    </row>
    <row r="159" spans="3:14" hidden="1" outlineLevel="2">
      <c r="C159" s="73" t="str">
        <v>SpareOfferB16</v>
      </c>
      <c r="D159" t="s">
        <v>301</v>
      </c>
      <c r="F159" s="180">
        <f t="shared" si="15"/>
        <v>0</v>
      </c>
      <c r="H159" s="231">
        <f t="shared" ref="H159:J159" si="44">H120*H$100</f>
        <v>0</v>
      </c>
      <c r="I159" s="231">
        <f t="shared" si="44"/>
        <v>0</v>
      </c>
      <c r="J159" s="231">
        <f t="shared" si="44"/>
        <v>0</v>
      </c>
      <c r="K159" s="231"/>
      <c r="L159" s="231">
        <f t="shared" ref="L159:N159" si="45">L120*L$100</f>
        <v>0</v>
      </c>
      <c r="M159" s="231">
        <f t="shared" si="45"/>
        <v>0</v>
      </c>
      <c r="N159" s="231">
        <f t="shared" si="45"/>
        <v>0</v>
      </c>
    </row>
    <row r="160" spans="3:14" hidden="1" outlineLevel="2">
      <c r="C160" s="73" t="str">
        <v>SpareOfferB17</v>
      </c>
      <c r="D160" t="s">
        <v>301</v>
      </c>
      <c r="F160" s="180">
        <f t="shared" si="15"/>
        <v>0</v>
      </c>
      <c r="H160" s="231">
        <f t="shared" ref="H160:J160" si="46">H121*H$100</f>
        <v>0</v>
      </c>
      <c r="I160" s="231">
        <f t="shared" si="46"/>
        <v>0</v>
      </c>
      <c r="J160" s="231">
        <f t="shared" si="46"/>
        <v>0</v>
      </c>
      <c r="K160" s="231"/>
      <c r="L160" s="231">
        <f t="shared" ref="L160:N160" si="47">L121*L$100</f>
        <v>0</v>
      </c>
      <c r="M160" s="231">
        <f t="shared" si="47"/>
        <v>0</v>
      </c>
      <c r="N160" s="231">
        <f t="shared" si="47"/>
        <v>0</v>
      </c>
    </row>
    <row r="161" spans="3:14" hidden="1" outlineLevel="2">
      <c r="C161" s="73" t="str">
        <v>SpareOfferB18</v>
      </c>
      <c r="D161" t="s">
        <v>301</v>
      </c>
      <c r="F161" s="180">
        <f t="shared" si="15"/>
        <v>0</v>
      </c>
      <c r="H161" s="231">
        <f t="shared" ref="H161:J161" si="48">H122*H$100</f>
        <v>0</v>
      </c>
      <c r="I161" s="231">
        <f t="shared" si="48"/>
        <v>0</v>
      </c>
      <c r="J161" s="231">
        <f t="shared" si="48"/>
        <v>0</v>
      </c>
      <c r="K161" s="231"/>
      <c r="L161" s="231">
        <f t="shared" ref="L161:N161" si="49">L122*L$100</f>
        <v>0</v>
      </c>
      <c r="M161" s="231">
        <f t="shared" si="49"/>
        <v>0</v>
      </c>
      <c r="N161" s="231">
        <f t="shared" si="49"/>
        <v>0</v>
      </c>
    </row>
    <row r="162" spans="3:14" hidden="1" outlineLevel="2">
      <c r="C162" s="73" t="str">
        <v>SpareOfferB19</v>
      </c>
      <c r="D162" t="s">
        <v>301</v>
      </c>
      <c r="F162" s="180">
        <f t="shared" si="15"/>
        <v>0</v>
      </c>
      <c r="H162" s="231">
        <f t="shared" ref="H162:J162" si="50">H123*H$100</f>
        <v>0</v>
      </c>
      <c r="I162" s="231">
        <f t="shared" si="50"/>
        <v>0</v>
      </c>
      <c r="J162" s="231">
        <f t="shared" si="50"/>
        <v>0</v>
      </c>
      <c r="K162" s="231"/>
      <c r="L162" s="231">
        <f t="shared" ref="L162:N162" si="51">L123*L$100</f>
        <v>0</v>
      </c>
      <c r="M162" s="231">
        <f t="shared" si="51"/>
        <v>0</v>
      </c>
      <c r="N162" s="231">
        <f t="shared" si="51"/>
        <v>0</v>
      </c>
    </row>
    <row r="163" spans="3:14" hidden="1" outlineLevel="2">
      <c r="C163" s="73" t="str">
        <v>SpareOfferB20</v>
      </c>
      <c r="D163" t="s">
        <v>301</v>
      </c>
      <c r="F163" s="180">
        <f t="shared" si="15"/>
        <v>0</v>
      </c>
      <c r="H163" s="231">
        <f t="shared" ref="H163:J163" si="52">H124*H$100</f>
        <v>0</v>
      </c>
      <c r="I163" s="231">
        <f t="shared" si="52"/>
        <v>0</v>
      </c>
      <c r="J163" s="231">
        <f t="shared" si="52"/>
        <v>0</v>
      </c>
      <c r="K163" s="231"/>
      <c r="L163" s="231">
        <f t="shared" ref="L163:N163" si="53">L124*L$100</f>
        <v>0</v>
      </c>
      <c r="M163" s="231">
        <f t="shared" si="53"/>
        <v>0</v>
      </c>
      <c r="N163" s="231">
        <f t="shared" si="53"/>
        <v>0</v>
      </c>
    </row>
    <row r="164" spans="3:14" hidden="1" outlineLevel="2">
      <c r="C164" s="73" t="str">
        <v>SpareOfferB21</v>
      </c>
      <c r="D164" t="s">
        <v>301</v>
      </c>
      <c r="F164" s="180">
        <f t="shared" si="15"/>
        <v>0</v>
      </c>
      <c r="H164" s="231">
        <f t="shared" ref="H164:J164" si="54">H125*H$100</f>
        <v>0</v>
      </c>
      <c r="I164" s="231">
        <f t="shared" si="54"/>
        <v>0</v>
      </c>
      <c r="J164" s="231">
        <f t="shared" si="54"/>
        <v>0</v>
      </c>
      <c r="K164" s="231"/>
      <c r="L164" s="231">
        <f t="shared" ref="L164:N164" si="55">L125*L$100</f>
        <v>0</v>
      </c>
      <c r="M164" s="231">
        <f t="shared" si="55"/>
        <v>0</v>
      </c>
      <c r="N164" s="231">
        <f t="shared" si="55"/>
        <v>0</v>
      </c>
    </row>
    <row r="165" spans="3:14" hidden="1" outlineLevel="2">
      <c r="C165" s="73" t="str">
        <v>SpareOfferB22</v>
      </c>
      <c r="D165" t="s">
        <v>301</v>
      </c>
      <c r="F165" s="180">
        <f t="shared" si="15"/>
        <v>0</v>
      </c>
      <c r="H165" s="231">
        <f t="shared" ref="H165:J165" si="56">H126*H$100</f>
        <v>0</v>
      </c>
      <c r="I165" s="231">
        <f t="shared" si="56"/>
        <v>0</v>
      </c>
      <c r="J165" s="231">
        <f t="shared" si="56"/>
        <v>0</v>
      </c>
      <c r="K165" s="231"/>
      <c r="L165" s="231">
        <f t="shared" ref="L165:N165" si="57">L126*L$100</f>
        <v>0</v>
      </c>
      <c r="M165" s="231">
        <f t="shared" si="57"/>
        <v>0</v>
      </c>
      <c r="N165" s="231">
        <f t="shared" si="57"/>
        <v>0</v>
      </c>
    </row>
    <row r="166" spans="3:14" hidden="1" outlineLevel="2">
      <c r="C166" s="73" t="str">
        <v>SpareOfferB23</v>
      </c>
      <c r="D166" t="s">
        <v>301</v>
      </c>
      <c r="F166" s="180">
        <f t="shared" si="15"/>
        <v>0</v>
      </c>
      <c r="H166" s="231">
        <f t="shared" ref="H166:J166" si="58">H127*H$100</f>
        <v>0</v>
      </c>
      <c r="I166" s="231">
        <f t="shared" si="58"/>
        <v>0</v>
      </c>
      <c r="J166" s="231">
        <f t="shared" si="58"/>
        <v>0</v>
      </c>
      <c r="K166" s="231"/>
      <c r="L166" s="231">
        <f t="shared" ref="L166:N166" si="59">L127*L$100</f>
        <v>0</v>
      </c>
      <c r="M166" s="231">
        <f t="shared" si="59"/>
        <v>0</v>
      </c>
      <c r="N166" s="231">
        <f t="shared" si="59"/>
        <v>0</v>
      </c>
    </row>
    <row r="167" spans="3:14" hidden="1" outlineLevel="2">
      <c r="C167" s="73" t="str">
        <v>SpareOfferB24</v>
      </c>
      <c r="D167" t="s">
        <v>301</v>
      </c>
      <c r="F167" s="180">
        <f t="shared" si="15"/>
        <v>0</v>
      </c>
      <c r="H167" s="231">
        <f t="shared" ref="H167:J167" si="60">H128*H$100</f>
        <v>0</v>
      </c>
      <c r="I167" s="231">
        <f t="shared" si="60"/>
        <v>0</v>
      </c>
      <c r="J167" s="231">
        <f t="shared" si="60"/>
        <v>0</v>
      </c>
      <c r="K167" s="231"/>
      <c r="L167" s="231">
        <f t="shared" ref="L167:N167" si="61">L128*L$100</f>
        <v>0</v>
      </c>
      <c r="M167" s="231">
        <f t="shared" si="61"/>
        <v>0</v>
      </c>
      <c r="N167" s="231">
        <f t="shared" si="61"/>
        <v>0</v>
      </c>
    </row>
    <row r="168" spans="3:14" hidden="1" outlineLevel="2">
      <c r="C168" s="73" t="str">
        <v>SpareOfferB25</v>
      </c>
      <c r="D168" t="s">
        <v>301</v>
      </c>
      <c r="F168" s="180">
        <f t="shared" si="15"/>
        <v>0</v>
      </c>
      <c r="H168" s="231">
        <f t="shared" ref="H168:J168" si="62">H129*H$100</f>
        <v>0</v>
      </c>
      <c r="I168" s="231">
        <f t="shared" si="62"/>
        <v>0</v>
      </c>
      <c r="J168" s="231">
        <f t="shared" si="62"/>
        <v>0</v>
      </c>
      <c r="K168" s="231"/>
      <c r="L168" s="231">
        <f t="shared" ref="L168:N168" si="63">L129*L$100</f>
        <v>0</v>
      </c>
      <c r="M168" s="231">
        <f t="shared" si="63"/>
        <v>0</v>
      </c>
      <c r="N168" s="231">
        <f t="shared" si="63"/>
        <v>0</v>
      </c>
    </row>
    <row r="169" spans="3:14" hidden="1" outlineLevel="2">
      <c r="C169" s="73" t="str">
        <v>SpareOfferB26</v>
      </c>
      <c r="D169" t="s">
        <v>301</v>
      </c>
      <c r="F169" s="180">
        <f t="shared" si="15"/>
        <v>0</v>
      </c>
      <c r="H169" s="231">
        <f t="shared" ref="H169:J169" si="64">H130*H$100</f>
        <v>0</v>
      </c>
      <c r="I169" s="231">
        <f t="shared" si="64"/>
        <v>0</v>
      </c>
      <c r="J169" s="231">
        <f t="shared" si="64"/>
        <v>0</v>
      </c>
      <c r="K169" s="231"/>
      <c r="L169" s="231">
        <f t="shared" ref="L169:N169" si="65">L130*L$100</f>
        <v>0</v>
      </c>
      <c r="M169" s="231">
        <f t="shared" si="65"/>
        <v>0</v>
      </c>
      <c r="N169" s="231">
        <f t="shared" si="65"/>
        <v>0</v>
      </c>
    </row>
    <row r="170" spans="3:14" hidden="1" outlineLevel="2">
      <c r="C170" s="73" t="str">
        <v>SpareOfferB27</v>
      </c>
      <c r="D170" t="s">
        <v>301</v>
      </c>
      <c r="F170" s="180">
        <f t="shared" si="15"/>
        <v>0</v>
      </c>
      <c r="H170" s="231">
        <f t="shared" ref="H170:J170" si="66">H131*H$100</f>
        <v>0</v>
      </c>
      <c r="I170" s="231">
        <f t="shared" si="66"/>
        <v>0</v>
      </c>
      <c r="J170" s="231">
        <f t="shared" si="66"/>
        <v>0</v>
      </c>
      <c r="K170" s="231"/>
      <c r="L170" s="231">
        <f t="shared" ref="L170:N170" si="67">L131*L$100</f>
        <v>0</v>
      </c>
      <c r="M170" s="231">
        <f t="shared" si="67"/>
        <v>0</v>
      </c>
      <c r="N170" s="231">
        <f t="shared" si="67"/>
        <v>0</v>
      </c>
    </row>
    <row r="171" spans="3:14" hidden="1" outlineLevel="2">
      <c r="C171" s="73" t="str">
        <v>SpareOfferB28</v>
      </c>
      <c r="D171" t="s">
        <v>301</v>
      </c>
      <c r="F171" s="180">
        <f t="shared" si="15"/>
        <v>0</v>
      </c>
      <c r="H171" s="231">
        <f t="shared" ref="H171:J171" si="68">H132*H$100</f>
        <v>0</v>
      </c>
      <c r="I171" s="231">
        <f t="shared" si="68"/>
        <v>0</v>
      </c>
      <c r="J171" s="231">
        <f t="shared" si="68"/>
        <v>0</v>
      </c>
      <c r="K171" s="231"/>
      <c r="L171" s="231">
        <f t="shared" ref="L171:N171" si="69">L132*L$100</f>
        <v>0</v>
      </c>
      <c r="M171" s="231">
        <f t="shared" si="69"/>
        <v>0</v>
      </c>
      <c r="N171" s="231">
        <f t="shared" si="69"/>
        <v>0</v>
      </c>
    </row>
    <row r="172" spans="3:14" hidden="1" outlineLevel="2">
      <c r="C172" s="73" t="str">
        <v>SpareOfferB29</v>
      </c>
      <c r="D172" t="s">
        <v>301</v>
      </c>
      <c r="F172" s="180">
        <f t="shared" si="15"/>
        <v>0</v>
      </c>
      <c r="H172" s="231">
        <f t="shared" ref="H172:J172" si="70">H133*H$100</f>
        <v>0</v>
      </c>
      <c r="I172" s="231">
        <f t="shared" si="70"/>
        <v>0</v>
      </c>
      <c r="J172" s="231">
        <f t="shared" si="70"/>
        <v>0</v>
      </c>
      <c r="K172" s="231"/>
      <c r="L172" s="231">
        <f t="shared" ref="L172:N172" si="71">L133*L$100</f>
        <v>0</v>
      </c>
      <c r="M172" s="231">
        <f t="shared" si="71"/>
        <v>0</v>
      </c>
      <c r="N172" s="231">
        <f t="shared" si="71"/>
        <v>0</v>
      </c>
    </row>
    <row r="173" spans="3:14" hidden="1" outlineLevel="2">
      <c r="C173" s="73" t="str">
        <v>SpareOfferB30</v>
      </c>
      <c r="D173" t="s">
        <v>301</v>
      </c>
      <c r="F173" s="180">
        <f t="shared" si="15"/>
        <v>0</v>
      </c>
      <c r="H173" s="231">
        <f t="shared" ref="H173:J173" si="72">H134*H$100</f>
        <v>0</v>
      </c>
      <c r="I173" s="231">
        <f t="shared" si="72"/>
        <v>0</v>
      </c>
      <c r="J173" s="231">
        <f t="shared" si="72"/>
        <v>0</v>
      </c>
      <c r="K173" s="231"/>
      <c r="L173" s="231">
        <f t="shared" ref="L173:N173" si="73">L134*L$100</f>
        <v>0</v>
      </c>
      <c r="M173" s="231">
        <f t="shared" si="73"/>
        <v>0</v>
      </c>
      <c r="N173" s="231">
        <f t="shared" si="73"/>
        <v>0</v>
      </c>
    </row>
    <row r="174" spans="3:14" hidden="1" outlineLevel="2">
      <c r="C174" s="73" t="str">
        <v>SpareOfferB31</v>
      </c>
      <c r="D174" t="s">
        <v>301</v>
      </c>
      <c r="F174" s="180">
        <f t="shared" si="15"/>
        <v>0</v>
      </c>
      <c r="H174" s="231">
        <f t="shared" ref="H174:J174" si="74">H135*H$100</f>
        <v>0</v>
      </c>
      <c r="I174" s="231">
        <f t="shared" si="74"/>
        <v>0</v>
      </c>
      <c r="J174" s="231">
        <f t="shared" si="74"/>
        <v>0</v>
      </c>
      <c r="K174" s="231"/>
      <c r="L174" s="231">
        <f t="shared" ref="L174:N174" si="75">L135*L$100</f>
        <v>0</v>
      </c>
      <c r="M174" s="231">
        <f t="shared" si="75"/>
        <v>0</v>
      </c>
      <c r="N174" s="231">
        <f t="shared" si="75"/>
        <v>0</v>
      </c>
    </row>
    <row r="175" spans="3:14" hidden="1" outlineLevel="2">
      <c r="C175" s="73" t="str">
        <v>SpareOfferB32</v>
      </c>
      <c r="D175" t="s">
        <v>301</v>
      </c>
      <c r="F175" s="180">
        <f t="shared" si="15"/>
        <v>0</v>
      </c>
      <c r="H175" s="231">
        <f t="shared" ref="H175:J175" si="76">H136*H$100</f>
        <v>0</v>
      </c>
      <c r="I175" s="231">
        <f t="shared" si="76"/>
        <v>0</v>
      </c>
      <c r="J175" s="231">
        <f t="shared" si="76"/>
        <v>0</v>
      </c>
      <c r="K175" s="231"/>
      <c r="L175" s="231">
        <f t="shared" ref="L175:N175" si="77">L136*L$100</f>
        <v>0</v>
      </c>
      <c r="M175" s="231">
        <f t="shared" si="77"/>
        <v>0</v>
      </c>
      <c r="N175" s="231">
        <f t="shared" si="77"/>
        <v>0</v>
      </c>
    </row>
    <row r="176" spans="3:14" hidden="1" outlineLevel="2">
      <c r="C176" s="73" t="str">
        <v>SpareOfferB33</v>
      </c>
      <c r="D176" t="s">
        <v>301</v>
      </c>
      <c r="F176" s="180">
        <f t="shared" si="15"/>
        <v>0</v>
      </c>
      <c r="H176" s="231">
        <f t="shared" ref="H176:J176" si="78">H137*H$100</f>
        <v>0</v>
      </c>
      <c r="I176" s="231">
        <f t="shared" si="78"/>
        <v>0</v>
      </c>
      <c r="J176" s="231">
        <f t="shared" si="78"/>
        <v>0</v>
      </c>
      <c r="K176" s="231"/>
      <c r="L176" s="231">
        <f t="shared" ref="L176:N176" si="79">L137*L$100</f>
        <v>0</v>
      </c>
      <c r="M176" s="231">
        <f t="shared" si="79"/>
        <v>0</v>
      </c>
      <c r="N176" s="231">
        <f t="shared" si="79"/>
        <v>0</v>
      </c>
    </row>
    <row r="177" spans="1:14" hidden="1" outlineLevel="2">
      <c r="C177" s="73" t="str">
        <v>SpareOfferB34</v>
      </c>
      <c r="D177" t="s">
        <v>301</v>
      </c>
      <c r="F177" s="180">
        <f t="shared" si="15"/>
        <v>0</v>
      </c>
      <c r="H177" s="231">
        <f t="shared" ref="H177:J177" si="80">H138*H$100</f>
        <v>0</v>
      </c>
      <c r="I177" s="231">
        <f t="shared" si="80"/>
        <v>0</v>
      </c>
      <c r="J177" s="231">
        <f t="shared" si="80"/>
        <v>0</v>
      </c>
      <c r="K177" s="231"/>
      <c r="L177" s="231">
        <f t="shared" ref="L177:N177" si="81">L138*L$100</f>
        <v>0</v>
      </c>
      <c r="M177" s="231">
        <f t="shared" si="81"/>
        <v>0</v>
      </c>
      <c r="N177" s="231">
        <f t="shared" si="81"/>
        <v>0</v>
      </c>
    </row>
    <row r="178" spans="1:14" outlineLevel="1" collapsed="1">
      <c r="C178" s="73" t="str">
        <v>SpareOfferB35</v>
      </c>
      <c r="D178" t="s">
        <v>301</v>
      </c>
      <c r="F178" s="180">
        <f t="shared" si="15"/>
        <v>0</v>
      </c>
      <c r="H178" s="231">
        <f t="shared" ref="H178:J178" si="82">H139*H$100</f>
        <v>0</v>
      </c>
      <c r="I178" s="231">
        <f t="shared" si="82"/>
        <v>0</v>
      </c>
      <c r="J178" s="231">
        <f t="shared" si="82"/>
        <v>0</v>
      </c>
      <c r="K178" s="231"/>
      <c r="L178" s="231">
        <f t="shared" ref="L178:N178" si="83">L139*L$100</f>
        <v>0</v>
      </c>
      <c r="M178" s="231">
        <f t="shared" si="83"/>
        <v>0</v>
      </c>
      <c r="N178" s="231">
        <f t="shared" si="83"/>
        <v>0</v>
      </c>
    </row>
    <row r="180" spans="1:14" s="220" customFormat="1">
      <c r="A180" s="220">
        <v>3</v>
      </c>
      <c r="B180" s="221" t="str">
        <f>INDEX(segments,A180)</f>
        <v>SpareSegmentC</v>
      </c>
      <c r="C180" s="207"/>
    </row>
    <row r="181" spans="1:14" outlineLevel="1"/>
    <row r="182" spans="1:14" outlineLevel="1">
      <c r="B182" s="91" t="s">
        <v>193</v>
      </c>
      <c r="H182" s="119" t="s">
        <v>300</v>
      </c>
      <c r="I182" s="119"/>
      <c r="J182" s="119"/>
      <c r="L182" s="119" t="s">
        <v>299</v>
      </c>
      <c r="M182" s="119"/>
      <c r="N182" s="119"/>
    </row>
    <row r="183" spans="1:14" ht="23.25" customHeight="1" outlineLevel="1">
      <c r="H183" s="1" t="str">
        <f t="array" ref="H183:J183">TRANSPOSE(destination.IC)</f>
        <v>Off-net fixed</v>
      </c>
      <c r="I183" s="1" t="str">
        <v>Off-net mobile</v>
      </c>
      <c r="J183" s="1" t="str">
        <v>International</v>
      </c>
      <c r="L183" s="1" t="str">
        <f t="array" ref="L183:N183">TRANSPOSE(destination.IC)</f>
        <v>Off-net fixed</v>
      </c>
      <c r="M183" s="1" t="str">
        <v>Off-net mobile</v>
      </c>
      <c r="N183" s="1" t="str">
        <v>International</v>
      </c>
    </row>
    <row r="184" spans="1:14" outlineLevel="1">
      <c r="C184" t="s">
        <v>193</v>
      </c>
      <c r="D184" t="s">
        <v>282</v>
      </c>
      <c r="H184" s="241">
        <f t="array" ref="H184:J184">Out.term.voice</f>
        <v>0</v>
      </c>
      <c r="I184" s="241">
        <v>0</v>
      </c>
      <c r="J184" s="241">
        <v>0</v>
      </c>
      <c r="L184" s="241">
        <f t="array" ref="L184:N184">Out.term.SMS</f>
        <v>0</v>
      </c>
      <c r="M184" s="241">
        <v>0</v>
      </c>
      <c r="N184" s="241">
        <v>0</v>
      </c>
    </row>
    <row r="185" spans="1:14" outlineLevel="1"/>
    <row r="186" spans="1:14" ht="23" outlineLevel="1">
      <c r="B186" s="91" t="s">
        <v>194</v>
      </c>
      <c r="F186" s="119" t="s">
        <v>223</v>
      </c>
      <c r="H186" s="119" t="s">
        <v>300</v>
      </c>
      <c r="I186" s="119"/>
      <c r="J186" s="119"/>
      <c r="L186" s="119" t="s">
        <v>299</v>
      </c>
      <c r="M186" s="119"/>
      <c r="N186" s="119"/>
    </row>
    <row r="187" spans="1:14" ht="23" outlineLevel="1">
      <c r="F187" s="119"/>
      <c r="H187" s="1" t="str">
        <f t="array" ref="H187:J187">TRANSPOSE(destination.IC)</f>
        <v>Off-net fixed</v>
      </c>
      <c r="I187" s="1" t="str">
        <v>Off-net mobile</v>
      </c>
      <c r="J187" s="1" t="str">
        <v>International</v>
      </c>
      <c r="L187" s="1" t="str">
        <f t="array" ref="L187:N187">TRANSPOSE(destination.IC)</f>
        <v>Off-net fixed</v>
      </c>
      <c r="M187" s="1" t="str">
        <v>Off-net mobile</v>
      </c>
      <c r="N187" s="1" t="str">
        <v>International</v>
      </c>
    </row>
    <row r="188" spans="1:14" outlineLevel="1">
      <c r="C188" s="91" t="s">
        <v>222</v>
      </c>
      <c r="D188" t="s">
        <v>174</v>
      </c>
      <c r="H188" s="94">
        <f>SUMPRODUCT(H189:H223,$F189:$F223)</f>
        <v>0</v>
      </c>
      <c r="I188" s="94">
        <f t="shared" ref="I188:J188" si="84">SUMPRODUCT(I189:I223,$F189:$F223)</f>
        <v>0</v>
      </c>
      <c r="J188" s="94">
        <f t="shared" si="84"/>
        <v>0</v>
      </c>
      <c r="L188" s="94">
        <f t="shared" ref="L188:N188" si="85">SUMPRODUCT(L189:L223,$F189:$F223)</f>
        <v>0</v>
      </c>
      <c r="M188" s="94">
        <f t="shared" si="85"/>
        <v>0</v>
      </c>
      <c r="N188" s="94">
        <f t="shared" si="85"/>
        <v>0</v>
      </c>
    </row>
    <row r="189" spans="1:14" outlineLevel="1">
      <c r="C189" s="73" t="str">
        <f t="array" ref="C189:C223">offers.segment.3</f>
        <v>SpareOfferC1</v>
      </c>
      <c r="D189" t="s">
        <v>174</v>
      </c>
      <c r="F189" s="87">
        <f t="array" ref="F189:F223">subscription.split.segment.3</f>
        <v>0</v>
      </c>
      <c r="H189" s="240">
        <f t="array" ref="H189:J223">out.IC.min.per.month.segment.3</f>
        <v>0</v>
      </c>
      <c r="I189" s="240">
        <v>0</v>
      </c>
      <c r="J189" s="240">
        <v>0</v>
      </c>
      <c r="K189" s="178"/>
      <c r="L189" s="240">
        <f t="array" ref="L189:N223">out.IC.SMS.per.month.segment.3</f>
        <v>0</v>
      </c>
      <c r="M189" s="240">
        <v>0</v>
      </c>
      <c r="N189" s="240">
        <v>0</v>
      </c>
    </row>
    <row r="190" spans="1:14" hidden="1" outlineLevel="2">
      <c r="C190" s="73" t="str">
        <v>SpareOfferC2</v>
      </c>
      <c r="D190" t="s">
        <v>174</v>
      </c>
      <c r="F190" s="87">
        <v>0</v>
      </c>
      <c r="H190" s="240">
        <v>0</v>
      </c>
      <c r="I190" s="240">
        <v>0</v>
      </c>
      <c r="J190" s="240">
        <v>0</v>
      </c>
      <c r="K190" s="178"/>
      <c r="L190" s="240">
        <v>0</v>
      </c>
      <c r="M190" s="240">
        <v>0</v>
      </c>
      <c r="N190" s="240">
        <v>0</v>
      </c>
    </row>
    <row r="191" spans="1:14" hidden="1" outlineLevel="2">
      <c r="C191" s="73" t="str">
        <v>SpareOfferC3</v>
      </c>
      <c r="D191" t="s">
        <v>174</v>
      </c>
      <c r="F191" s="87">
        <v>0</v>
      </c>
      <c r="H191" s="240">
        <v>0</v>
      </c>
      <c r="I191" s="240">
        <v>0</v>
      </c>
      <c r="J191" s="240">
        <v>0</v>
      </c>
      <c r="K191" s="178"/>
      <c r="L191" s="240">
        <v>0</v>
      </c>
      <c r="M191" s="240">
        <v>0</v>
      </c>
      <c r="N191" s="240">
        <v>0</v>
      </c>
    </row>
    <row r="192" spans="1:14" hidden="1" outlineLevel="2">
      <c r="C192" s="73" t="str">
        <v>SpareOfferC4</v>
      </c>
      <c r="D192" t="s">
        <v>174</v>
      </c>
      <c r="F192" s="87">
        <v>0</v>
      </c>
      <c r="H192" s="240">
        <v>0</v>
      </c>
      <c r="I192" s="240">
        <v>0</v>
      </c>
      <c r="J192" s="240">
        <v>0</v>
      </c>
      <c r="K192" s="178"/>
      <c r="L192" s="240">
        <v>0</v>
      </c>
      <c r="M192" s="240">
        <v>0</v>
      </c>
      <c r="N192" s="240">
        <v>0</v>
      </c>
    </row>
    <row r="193" spans="3:14" hidden="1" outlineLevel="2">
      <c r="C193" s="73" t="str">
        <v>SpareOfferC5</v>
      </c>
      <c r="D193" t="s">
        <v>174</v>
      </c>
      <c r="F193" s="87">
        <v>0</v>
      </c>
      <c r="H193" s="240">
        <v>0</v>
      </c>
      <c r="I193" s="240">
        <v>0</v>
      </c>
      <c r="J193" s="240">
        <v>0</v>
      </c>
      <c r="K193" s="178"/>
      <c r="L193" s="240">
        <v>0</v>
      </c>
      <c r="M193" s="240">
        <v>0</v>
      </c>
      <c r="N193" s="240">
        <v>0</v>
      </c>
    </row>
    <row r="194" spans="3:14" hidden="1" outlineLevel="2">
      <c r="C194" s="73" t="str">
        <v>SpareOfferC6</v>
      </c>
      <c r="D194" t="s">
        <v>174</v>
      </c>
      <c r="F194" s="87">
        <v>0</v>
      </c>
      <c r="H194" s="240">
        <v>0</v>
      </c>
      <c r="I194" s="240">
        <v>0</v>
      </c>
      <c r="J194" s="240">
        <v>0</v>
      </c>
      <c r="K194" s="178"/>
      <c r="L194" s="240">
        <v>0</v>
      </c>
      <c r="M194" s="240">
        <v>0</v>
      </c>
      <c r="N194" s="240">
        <v>0</v>
      </c>
    </row>
    <row r="195" spans="3:14" hidden="1" outlineLevel="2">
      <c r="C195" s="73" t="str">
        <v>SpareOfferC7</v>
      </c>
      <c r="D195" t="s">
        <v>174</v>
      </c>
      <c r="F195" s="87">
        <v>0</v>
      </c>
      <c r="H195" s="240">
        <v>0</v>
      </c>
      <c r="I195" s="240">
        <v>0</v>
      </c>
      <c r="J195" s="240">
        <v>0</v>
      </c>
      <c r="K195" s="178"/>
      <c r="L195" s="240">
        <v>0</v>
      </c>
      <c r="M195" s="240">
        <v>0</v>
      </c>
      <c r="N195" s="240">
        <v>0</v>
      </c>
    </row>
    <row r="196" spans="3:14" hidden="1" outlineLevel="2">
      <c r="C196" s="73" t="str">
        <v>SpareOfferC8</v>
      </c>
      <c r="D196" t="s">
        <v>174</v>
      </c>
      <c r="F196" s="87">
        <v>0</v>
      </c>
      <c r="H196" s="240">
        <v>0</v>
      </c>
      <c r="I196" s="240">
        <v>0</v>
      </c>
      <c r="J196" s="240">
        <v>0</v>
      </c>
      <c r="K196" s="178"/>
      <c r="L196" s="240">
        <v>0</v>
      </c>
      <c r="M196" s="240">
        <v>0</v>
      </c>
      <c r="N196" s="240">
        <v>0</v>
      </c>
    </row>
    <row r="197" spans="3:14" hidden="1" outlineLevel="2">
      <c r="C197" s="73" t="str">
        <v>SpareOfferC9</v>
      </c>
      <c r="D197" t="s">
        <v>174</v>
      </c>
      <c r="F197" s="87">
        <v>0</v>
      </c>
      <c r="H197" s="240">
        <v>0</v>
      </c>
      <c r="I197" s="240">
        <v>0</v>
      </c>
      <c r="J197" s="240">
        <v>0</v>
      </c>
      <c r="K197" s="178"/>
      <c r="L197" s="240">
        <v>0</v>
      </c>
      <c r="M197" s="240">
        <v>0</v>
      </c>
      <c r="N197" s="240">
        <v>0</v>
      </c>
    </row>
    <row r="198" spans="3:14" hidden="1" outlineLevel="2">
      <c r="C198" s="73" t="str">
        <v>SpareOfferC10</v>
      </c>
      <c r="D198" t="s">
        <v>174</v>
      </c>
      <c r="F198" s="87">
        <v>0</v>
      </c>
      <c r="H198" s="240">
        <v>0</v>
      </c>
      <c r="I198" s="240">
        <v>0</v>
      </c>
      <c r="J198" s="240">
        <v>0</v>
      </c>
      <c r="K198" s="178"/>
      <c r="L198" s="240">
        <v>0</v>
      </c>
      <c r="M198" s="240">
        <v>0</v>
      </c>
      <c r="N198" s="240">
        <v>0</v>
      </c>
    </row>
    <row r="199" spans="3:14" hidden="1" outlineLevel="2">
      <c r="C199" s="73" t="str">
        <v>SpareOfferC11</v>
      </c>
      <c r="D199" t="s">
        <v>174</v>
      </c>
      <c r="F199" s="87">
        <v>0</v>
      </c>
      <c r="H199" s="240">
        <v>0</v>
      </c>
      <c r="I199" s="240">
        <v>0</v>
      </c>
      <c r="J199" s="240">
        <v>0</v>
      </c>
      <c r="K199" s="178"/>
      <c r="L199" s="240">
        <v>0</v>
      </c>
      <c r="M199" s="240">
        <v>0</v>
      </c>
      <c r="N199" s="240">
        <v>0</v>
      </c>
    </row>
    <row r="200" spans="3:14" hidden="1" outlineLevel="2">
      <c r="C200" s="73" t="str">
        <v>SpareOfferC12</v>
      </c>
      <c r="D200" t="s">
        <v>174</v>
      </c>
      <c r="F200" s="87">
        <v>0</v>
      </c>
      <c r="H200" s="240">
        <v>0</v>
      </c>
      <c r="I200" s="240">
        <v>0</v>
      </c>
      <c r="J200" s="240">
        <v>0</v>
      </c>
      <c r="K200" s="178"/>
      <c r="L200" s="240">
        <v>0</v>
      </c>
      <c r="M200" s="240">
        <v>0</v>
      </c>
      <c r="N200" s="240">
        <v>0</v>
      </c>
    </row>
    <row r="201" spans="3:14" hidden="1" outlineLevel="2">
      <c r="C201" s="73" t="str">
        <v>SpareOfferC13</v>
      </c>
      <c r="D201" t="s">
        <v>174</v>
      </c>
      <c r="F201" s="87">
        <v>0</v>
      </c>
      <c r="H201" s="240">
        <v>0</v>
      </c>
      <c r="I201" s="240">
        <v>0</v>
      </c>
      <c r="J201" s="240">
        <v>0</v>
      </c>
      <c r="K201" s="178"/>
      <c r="L201" s="240">
        <v>0</v>
      </c>
      <c r="M201" s="240">
        <v>0</v>
      </c>
      <c r="N201" s="240">
        <v>0</v>
      </c>
    </row>
    <row r="202" spans="3:14" hidden="1" outlineLevel="2">
      <c r="C202" s="73" t="str">
        <v>SpareOfferC14</v>
      </c>
      <c r="D202" t="s">
        <v>174</v>
      </c>
      <c r="F202" s="87">
        <v>0</v>
      </c>
      <c r="H202" s="240">
        <v>0</v>
      </c>
      <c r="I202" s="240">
        <v>0</v>
      </c>
      <c r="J202" s="240">
        <v>0</v>
      </c>
      <c r="K202" s="178"/>
      <c r="L202" s="240">
        <v>0</v>
      </c>
      <c r="M202" s="240">
        <v>0</v>
      </c>
      <c r="N202" s="240">
        <v>0</v>
      </c>
    </row>
    <row r="203" spans="3:14" hidden="1" outlineLevel="2">
      <c r="C203" s="73" t="str">
        <v>SpareOfferC15</v>
      </c>
      <c r="D203" t="s">
        <v>174</v>
      </c>
      <c r="F203" s="87">
        <v>0</v>
      </c>
      <c r="H203" s="240">
        <v>0</v>
      </c>
      <c r="I203" s="240">
        <v>0</v>
      </c>
      <c r="J203" s="240">
        <v>0</v>
      </c>
      <c r="K203" s="178"/>
      <c r="L203" s="240">
        <v>0</v>
      </c>
      <c r="M203" s="240">
        <v>0</v>
      </c>
      <c r="N203" s="240">
        <v>0</v>
      </c>
    </row>
    <row r="204" spans="3:14" hidden="1" outlineLevel="2">
      <c r="C204" s="73" t="str">
        <v>SpareOfferC16</v>
      </c>
      <c r="D204" t="s">
        <v>174</v>
      </c>
      <c r="F204" s="87">
        <v>0</v>
      </c>
      <c r="H204" s="240">
        <v>0</v>
      </c>
      <c r="I204" s="240">
        <v>0</v>
      </c>
      <c r="J204" s="240">
        <v>0</v>
      </c>
      <c r="K204" s="178"/>
      <c r="L204" s="240">
        <v>0</v>
      </c>
      <c r="M204" s="240">
        <v>0</v>
      </c>
      <c r="N204" s="240">
        <v>0</v>
      </c>
    </row>
    <row r="205" spans="3:14" hidden="1" outlineLevel="2">
      <c r="C205" s="73" t="str">
        <v>SpareOfferC17</v>
      </c>
      <c r="D205" t="s">
        <v>174</v>
      </c>
      <c r="F205" s="87">
        <v>0</v>
      </c>
      <c r="H205" s="240">
        <v>0</v>
      </c>
      <c r="I205" s="240">
        <v>0</v>
      </c>
      <c r="J205" s="240">
        <v>0</v>
      </c>
      <c r="K205" s="178"/>
      <c r="L205" s="240">
        <v>0</v>
      </c>
      <c r="M205" s="240">
        <v>0</v>
      </c>
      <c r="N205" s="240">
        <v>0</v>
      </c>
    </row>
    <row r="206" spans="3:14" hidden="1" outlineLevel="2">
      <c r="C206" s="73" t="str">
        <v>SpareOfferC18</v>
      </c>
      <c r="D206" t="s">
        <v>174</v>
      </c>
      <c r="F206" s="87">
        <v>0</v>
      </c>
      <c r="H206" s="240">
        <v>0</v>
      </c>
      <c r="I206" s="240">
        <v>0</v>
      </c>
      <c r="J206" s="240">
        <v>0</v>
      </c>
      <c r="K206" s="178"/>
      <c r="L206" s="240">
        <v>0</v>
      </c>
      <c r="M206" s="240">
        <v>0</v>
      </c>
      <c r="N206" s="240">
        <v>0</v>
      </c>
    </row>
    <row r="207" spans="3:14" hidden="1" outlineLevel="2">
      <c r="C207" s="73" t="str">
        <v>SpareOfferC19</v>
      </c>
      <c r="D207" t="s">
        <v>174</v>
      </c>
      <c r="F207" s="87">
        <v>0</v>
      </c>
      <c r="H207" s="240">
        <v>0</v>
      </c>
      <c r="I207" s="240">
        <v>0</v>
      </c>
      <c r="J207" s="240">
        <v>0</v>
      </c>
      <c r="K207" s="178"/>
      <c r="L207" s="240">
        <v>0</v>
      </c>
      <c r="M207" s="240">
        <v>0</v>
      </c>
      <c r="N207" s="240">
        <v>0</v>
      </c>
    </row>
    <row r="208" spans="3:14" hidden="1" outlineLevel="2">
      <c r="C208" s="73" t="str">
        <v>SpareOfferC20</v>
      </c>
      <c r="D208" t="s">
        <v>174</v>
      </c>
      <c r="F208" s="87">
        <v>0</v>
      </c>
      <c r="H208" s="240">
        <v>0</v>
      </c>
      <c r="I208" s="240">
        <v>0</v>
      </c>
      <c r="J208" s="240">
        <v>0</v>
      </c>
      <c r="K208" s="178"/>
      <c r="L208" s="240">
        <v>0</v>
      </c>
      <c r="M208" s="240">
        <v>0</v>
      </c>
      <c r="N208" s="240">
        <v>0</v>
      </c>
    </row>
    <row r="209" spans="3:14" hidden="1" outlineLevel="2">
      <c r="C209" s="73" t="str">
        <v>SpareOfferC21</v>
      </c>
      <c r="D209" t="s">
        <v>174</v>
      </c>
      <c r="F209" s="87">
        <v>0</v>
      </c>
      <c r="H209" s="240">
        <v>0</v>
      </c>
      <c r="I209" s="240">
        <v>0</v>
      </c>
      <c r="J209" s="240">
        <v>0</v>
      </c>
      <c r="K209" s="178"/>
      <c r="L209" s="240">
        <v>0</v>
      </c>
      <c r="M209" s="240">
        <v>0</v>
      </c>
      <c r="N209" s="240">
        <v>0</v>
      </c>
    </row>
    <row r="210" spans="3:14" hidden="1" outlineLevel="2">
      <c r="C210" s="73" t="str">
        <v>SpareOfferC22</v>
      </c>
      <c r="D210" t="s">
        <v>174</v>
      </c>
      <c r="F210" s="87">
        <v>0</v>
      </c>
      <c r="H210" s="240">
        <v>0</v>
      </c>
      <c r="I210" s="240">
        <v>0</v>
      </c>
      <c r="J210" s="240">
        <v>0</v>
      </c>
      <c r="K210" s="178"/>
      <c r="L210" s="240">
        <v>0</v>
      </c>
      <c r="M210" s="240">
        <v>0</v>
      </c>
      <c r="N210" s="240">
        <v>0</v>
      </c>
    </row>
    <row r="211" spans="3:14" hidden="1" outlineLevel="2">
      <c r="C211" s="73" t="str">
        <v>SpareOfferC23</v>
      </c>
      <c r="D211" t="s">
        <v>174</v>
      </c>
      <c r="F211" s="87">
        <v>0</v>
      </c>
      <c r="H211" s="240">
        <v>0</v>
      </c>
      <c r="I211" s="240">
        <v>0</v>
      </c>
      <c r="J211" s="240">
        <v>0</v>
      </c>
      <c r="K211" s="178"/>
      <c r="L211" s="240">
        <v>0</v>
      </c>
      <c r="M211" s="240">
        <v>0</v>
      </c>
      <c r="N211" s="240">
        <v>0</v>
      </c>
    </row>
    <row r="212" spans="3:14" hidden="1" outlineLevel="2">
      <c r="C212" s="73" t="str">
        <v>SpareOfferC24</v>
      </c>
      <c r="D212" t="s">
        <v>174</v>
      </c>
      <c r="F212" s="87">
        <v>0</v>
      </c>
      <c r="H212" s="240">
        <v>0</v>
      </c>
      <c r="I212" s="240">
        <v>0</v>
      </c>
      <c r="J212" s="240">
        <v>0</v>
      </c>
      <c r="K212" s="178"/>
      <c r="L212" s="240">
        <v>0</v>
      </c>
      <c r="M212" s="240">
        <v>0</v>
      </c>
      <c r="N212" s="240">
        <v>0</v>
      </c>
    </row>
    <row r="213" spans="3:14" hidden="1" outlineLevel="2">
      <c r="C213" s="73" t="str">
        <v>SpareOfferC25</v>
      </c>
      <c r="D213" t="s">
        <v>174</v>
      </c>
      <c r="F213" s="87">
        <v>0</v>
      </c>
      <c r="H213" s="240">
        <v>0</v>
      </c>
      <c r="I213" s="240">
        <v>0</v>
      </c>
      <c r="J213" s="240">
        <v>0</v>
      </c>
      <c r="K213" s="178"/>
      <c r="L213" s="240">
        <v>0</v>
      </c>
      <c r="M213" s="240">
        <v>0</v>
      </c>
      <c r="N213" s="240">
        <v>0</v>
      </c>
    </row>
    <row r="214" spans="3:14" hidden="1" outlineLevel="2">
      <c r="C214" s="73" t="str">
        <v>SpareOfferC26</v>
      </c>
      <c r="D214" t="s">
        <v>174</v>
      </c>
      <c r="F214" s="87">
        <v>0</v>
      </c>
      <c r="H214" s="240">
        <v>0</v>
      </c>
      <c r="I214" s="240">
        <v>0</v>
      </c>
      <c r="J214" s="240">
        <v>0</v>
      </c>
      <c r="K214" s="178"/>
      <c r="L214" s="240">
        <v>0</v>
      </c>
      <c r="M214" s="240">
        <v>0</v>
      </c>
      <c r="N214" s="240">
        <v>0</v>
      </c>
    </row>
    <row r="215" spans="3:14" hidden="1" outlineLevel="2">
      <c r="C215" s="73" t="str">
        <v>SpareOfferC27</v>
      </c>
      <c r="D215" t="s">
        <v>174</v>
      </c>
      <c r="F215" s="87">
        <v>0</v>
      </c>
      <c r="H215" s="240">
        <v>0</v>
      </c>
      <c r="I215" s="240">
        <v>0</v>
      </c>
      <c r="J215" s="240">
        <v>0</v>
      </c>
      <c r="K215" s="178"/>
      <c r="L215" s="240">
        <v>0</v>
      </c>
      <c r="M215" s="240">
        <v>0</v>
      </c>
      <c r="N215" s="240">
        <v>0</v>
      </c>
    </row>
    <row r="216" spans="3:14" hidden="1" outlineLevel="2">
      <c r="C216" s="73" t="str">
        <v>SpareOfferC28</v>
      </c>
      <c r="D216" t="s">
        <v>174</v>
      </c>
      <c r="F216" s="87">
        <v>0</v>
      </c>
      <c r="H216" s="240">
        <v>0</v>
      </c>
      <c r="I216" s="240">
        <v>0</v>
      </c>
      <c r="J216" s="240">
        <v>0</v>
      </c>
      <c r="K216" s="178"/>
      <c r="L216" s="240">
        <v>0</v>
      </c>
      <c r="M216" s="240">
        <v>0</v>
      </c>
      <c r="N216" s="240">
        <v>0</v>
      </c>
    </row>
    <row r="217" spans="3:14" hidden="1" outlineLevel="2">
      <c r="C217" s="73" t="str">
        <v>SpareOfferC29</v>
      </c>
      <c r="D217" t="s">
        <v>174</v>
      </c>
      <c r="F217" s="87">
        <v>0</v>
      </c>
      <c r="H217" s="240">
        <v>0</v>
      </c>
      <c r="I217" s="240">
        <v>0</v>
      </c>
      <c r="J217" s="240">
        <v>0</v>
      </c>
      <c r="K217" s="178"/>
      <c r="L217" s="240">
        <v>0</v>
      </c>
      <c r="M217" s="240">
        <v>0</v>
      </c>
      <c r="N217" s="240">
        <v>0</v>
      </c>
    </row>
    <row r="218" spans="3:14" hidden="1" outlineLevel="2">
      <c r="C218" s="73" t="str">
        <v>SpareOfferC30</v>
      </c>
      <c r="D218" t="s">
        <v>174</v>
      </c>
      <c r="F218" s="87">
        <v>0</v>
      </c>
      <c r="H218" s="240">
        <v>0</v>
      </c>
      <c r="I218" s="240">
        <v>0</v>
      </c>
      <c r="J218" s="240">
        <v>0</v>
      </c>
      <c r="K218" s="178"/>
      <c r="L218" s="240">
        <v>0</v>
      </c>
      <c r="M218" s="240">
        <v>0</v>
      </c>
      <c r="N218" s="240">
        <v>0</v>
      </c>
    </row>
    <row r="219" spans="3:14" hidden="1" outlineLevel="2">
      <c r="C219" s="73" t="str">
        <v>SpareOfferC31</v>
      </c>
      <c r="D219" t="s">
        <v>174</v>
      </c>
      <c r="F219" s="87">
        <v>0</v>
      </c>
      <c r="H219" s="240">
        <v>0</v>
      </c>
      <c r="I219" s="240">
        <v>0</v>
      </c>
      <c r="J219" s="240">
        <v>0</v>
      </c>
      <c r="K219" s="178"/>
      <c r="L219" s="240">
        <v>0</v>
      </c>
      <c r="M219" s="240">
        <v>0</v>
      </c>
      <c r="N219" s="240">
        <v>0</v>
      </c>
    </row>
    <row r="220" spans="3:14" hidden="1" outlineLevel="2">
      <c r="C220" s="73" t="str">
        <v>SpareOfferC32</v>
      </c>
      <c r="D220" t="s">
        <v>174</v>
      </c>
      <c r="F220" s="87">
        <v>0</v>
      </c>
      <c r="H220" s="240">
        <v>0</v>
      </c>
      <c r="I220" s="240">
        <v>0</v>
      </c>
      <c r="J220" s="240">
        <v>0</v>
      </c>
      <c r="K220" s="178"/>
      <c r="L220" s="240">
        <v>0</v>
      </c>
      <c r="M220" s="240">
        <v>0</v>
      </c>
      <c r="N220" s="240">
        <v>0</v>
      </c>
    </row>
    <row r="221" spans="3:14" hidden="1" outlineLevel="2">
      <c r="C221" s="73" t="str">
        <v>SpareOfferC33</v>
      </c>
      <c r="D221" t="s">
        <v>174</v>
      </c>
      <c r="F221" s="87">
        <v>0</v>
      </c>
      <c r="H221" s="240">
        <v>0</v>
      </c>
      <c r="I221" s="240">
        <v>0</v>
      </c>
      <c r="J221" s="240">
        <v>0</v>
      </c>
      <c r="K221" s="178"/>
      <c r="L221" s="240">
        <v>0</v>
      </c>
      <c r="M221" s="240">
        <v>0</v>
      </c>
      <c r="N221" s="240">
        <v>0</v>
      </c>
    </row>
    <row r="222" spans="3:14" hidden="1" outlineLevel="2">
      <c r="C222" s="73" t="str">
        <v>SpareOfferC34</v>
      </c>
      <c r="D222" t="s">
        <v>174</v>
      </c>
      <c r="F222" s="87">
        <v>0</v>
      </c>
      <c r="H222" s="240">
        <v>0</v>
      </c>
      <c r="I222" s="240">
        <v>0</v>
      </c>
      <c r="J222" s="240">
        <v>0</v>
      </c>
      <c r="K222" s="178"/>
      <c r="L222" s="240">
        <v>0</v>
      </c>
      <c r="M222" s="240">
        <v>0</v>
      </c>
      <c r="N222" s="240">
        <v>0</v>
      </c>
    </row>
    <row r="223" spans="3:14" outlineLevel="1" collapsed="1">
      <c r="C223" s="73" t="str">
        <v>SpareOfferC35</v>
      </c>
      <c r="D223" t="s">
        <v>174</v>
      </c>
      <c r="F223" s="87">
        <v>0</v>
      </c>
      <c r="H223" s="240">
        <v>0</v>
      </c>
      <c r="I223" s="240">
        <v>0</v>
      </c>
      <c r="J223" s="240">
        <v>0</v>
      </c>
      <c r="K223" s="178"/>
      <c r="L223" s="240">
        <v>0</v>
      </c>
      <c r="M223" s="240">
        <v>0</v>
      </c>
      <c r="N223" s="240">
        <v>0</v>
      </c>
    </row>
    <row r="224" spans="3:14" outlineLevel="1"/>
    <row r="225" spans="2:14" ht="12.75" customHeight="1" outlineLevel="1">
      <c r="B225" s="91" t="s">
        <v>219</v>
      </c>
      <c r="F225" s="127" t="s">
        <v>190</v>
      </c>
      <c r="H225" s="119" t="s">
        <v>300</v>
      </c>
      <c r="I225" s="119"/>
      <c r="J225" s="119"/>
      <c r="L225" s="119" t="s">
        <v>299</v>
      </c>
      <c r="M225" s="119"/>
      <c r="N225" s="119"/>
    </row>
    <row r="226" spans="2:14" ht="23" outlineLevel="1">
      <c r="F226" s="127"/>
      <c r="H226" s="1" t="str">
        <f t="array" ref="H226:J226">TRANSPOSE(destination.IC)</f>
        <v>Off-net fixed</v>
      </c>
      <c r="I226" s="1" t="str">
        <v>Off-net mobile</v>
      </c>
      <c r="J226" s="1" t="str">
        <v>International</v>
      </c>
      <c r="L226" s="1" t="str">
        <f t="array" ref="L226:N226">TRANSPOSE(destination.IC)</f>
        <v>Off-net fixed</v>
      </c>
      <c r="M226" s="1" t="str">
        <v>Off-net mobile</v>
      </c>
      <c r="N226" s="1" t="str">
        <v>International</v>
      </c>
    </row>
    <row r="227" spans="2:14" outlineLevel="1">
      <c r="C227" s="93" t="s">
        <v>339</v>
      </c>
      <c r="D227" s="97" t="s">
        <v>189</v>
      </c>
      <c r="F227" s="146">
        <f t="shared" ref="F227" si="86">SUM(H227:J227,L227:N227)</f>
        <v>0</v>
      </c>
      <c r="H227" s="231">
        <f t="shared" ref="H227:J227" si="87">H188*H$184</f>
        <v>0</v>
      </c>
      <c r="I227" s="231">
        <f t="shared" si="87"/>
        <v>0</v>
      </c>
      <c r="J227" s="231">
        <f t="shared" si="87"/>
        <v>0</v>
      </c>
      <c r="K227" s="231"/>
      <c r="L227" s="231">
        <f t="shared" ref="L227:N227" si="88">L188*L$184</f>
        <v>0</v>
      </c>
      <c r="M227" s="231">
        <f t="shared" si="88"/>
        <v>0</v>
      </c>
      <c r="N227" s="231">
        <f t="shared" si="88"/>
        <v>0</v>
      </c>
    </row>
    <row r="228" spans="2:14" outlineLevel="1">
      <c r="C228" s="73" t="str">
        <f t="array" ref="C228:C262">offers.segment.3</f>
        <v>SpareOfferC1</v>
      </c>
      <c r="D228" t="s">
        <v>301</v>
      </c>
      <c r="F228" s="180">
        <f>SUM(H228:J228,L228:N228)</f>
        <v>0</v>
      </c>
      <c r="H228" s="231">
        <f t="shared" ref="H228:J228" si="89">H189*H$184</f>
        <v>0</v>
      </c>
      <c r="I228" s="231">
        <f t="shared" si="89"/>
        <v>0</v>
      </c>
      <c r="J228" s="231">
        <f t="shared" si="89"/>
        <v>0</v>
      </c>
      <c r="K228" s="231"/>
      <c r="L228" s="231">
        <f t="shared" ref="L228:N228" si="90">L189*L$184</f>
        <v>0</v>
      </c>
      <c r="M228" s="231">
        <f t="shared" si="90"/>
        <v>0</v>
      </c>
      <c r="N228" s="231">
        <f t="shared" si="90"/>
        <v>0</v>
      </c>
    </row>
    <row r="229" spans="2:14" hidden="1" outlineLevel="2">
      <c r="C229" s="73" t="str">
        <v>SpareOfferC2</v>
      </c>
      <c r="D229" t="s">
        <v>301</v>
      </c>
      <c r="F229" s="180">
        <f t="shared" ref="F229:F262" si="91">SUM(H229:J229,L229:N229)</f>
        <v>0</v>
      </c>
      <c r="H229" s="231">
        <f t="shared" ref="H229:J229" si="92">H190*H$184</f>
        <v>0</v>
      </c>
      <c r="I229" s="231">
        <f t="shared" si="92"/>
        <v>0</v>
      </c>
      <c r="J229" s="231">
        <f t="shared" si="92"/>
        <v>0</v>
      </c>
      <c r="K229" s="231"/>
      <c r="L229" s="231">
        <f t="shared" ref="L229:N229" si="93">L190*L$184</f>
        <v>0</v>
      </c>
      <c r="M229" s="231">
        <f t="shared" si="93"/>
        <v>0</v>
      </c>
      <c r="N229" s="231">
        <f t="shared" si="93"/>
        <v>0</v>
      </c>
    </row>
    <row r="230" spans="2:14" hidden="1" outlineLevel="2">
      <c r="C230" s="73" t="str">
        <v>SpareOfferC3</v>
      </c>
      <c r="D230" t="s">
        <v>301</v>
      </c>
      <c r="F230" s="180">
        <f t="shared" si="91"/>
        <v>0</v>
      </c>
      <c r="H230" s="231">
        <f t="shared" ref="H230:J230" si="94">H191*H$184</f>
        <v>0</v>
      </c>
      <c r="I230" s="231">
        <f t="shared" si="94"/>
        <v>0</v>
      </c>
      <c r="J230" s="231">
        <f t="shared" si="94"/>
        <v>0</v>
      </c>
      <c r="K230" s="231"/>
      <c r="L230" s="231">
        <f t="shared" ref="L230:N230" si="95">L191*L$184</f>
        <v>0</v>
      </c>
      <c r="M230" s="231">
        <f t="shared" si="95"/>
        <v>0</v>
      </c>
      <c r="N230" s="231">
        <f t="shared" si="95"/>
        <v>0</v>
      </c>
    </row>
    <row r="231" spans="2:14" hidden="1" outlineLevel="2">
      <c r="C231" s="73" t="str">
        <v>SpareOfferC4</v>
      </c>
      <c r="D231" t="s">
        <v>301</v>
      </c>
      <c r="F231" s="180">
        <f t="shared" si="91"/>
        <v>0</v>
      </c>
      <c r="H231" s="231">
        <f t="shared" ref="H231:J231" si="96">H192*H$184</f>
        <v>0</v>
      </c>
      <c r="I231" s="231">
        <f t="shared" si="96"/>
        <v>0</v>
      </c>
      <c r="J231" s="231">
        <f t="shared" si="96"/>
        <v>0</v>
      </c>
      <c r="K231" s="231"/>
      <c r="L231" s="231">
        <f t="shared" ref="L231:N231" si="97">L192*L$184</f>
        <v>0</v>
      </c>
      <c r="M231" s="231">
        <f t="shared" si="97"/>
        <v>0</v>
      </c>
      <c r="N231" s="231">
        <f t="shared" si="97"/>
        <v>0</v>
      </c>
    </row>
    <row r="232" spans="2:14" hidden="1" outlineLevel="2">
      <c r="C232" s="73" t="str">
        <v>SpareOfferC5</v>
      </c>
      <c r="D232" t="s">
        <v>301</v>
      </c>
      <c r="F232" s="180">
        <f t="shared" si="91"/>
        <v>0</v>
      </c>
      <c r="H232" s="231">
        <f t="shared" ref="H232:J232" si="98">H193*H$184</f>
        <v>0</v>
      </c>
      <c r="I232" s="231">
        <f t="shared" si="98"/>
        <v>0</v>
      </c>
      <c r="J232" s="231">
        <f t="shared" si="98"/>
        <v>0</v>
      </c>
      <c r="K232" s="231"/>
      <c r="L232" s="231">
        <f t="shared" ref="L232:N232" si="99">L193*L$184</f>
        <v>0</v>
      </c>
      <c r="M232" s="231">
        <f t="shared" si="99"/>
        <v>0</v>
      </c>
      <c r="N232" s="231">
        <f t="shared" si="99"/>
        <v>0</v>
      </c>
    </row>
    <row r="233" spans="2:14" hidden="1" outlineLevel="2">
      <c r="C233" s="73" t="str">
        <v>SpareOfferC6</v>
      </c>
      <c r="D233" t="s">
        <v>301</v>
      </c>
      <c r="F233" s="180">
        <f t="shared" si="91"/>
        <v>0</v>
      </c>
      <c r="H233" s="231">
        <f t="shared" ref="H233:J233" si="100">H194*H$184</f>
        <v>0</v>
      </c>
      <c r="I233" s="231">
        <f t="shared" si="100"/>
        <v>0</v>
      </c>
      <c r="J233" s="231">
        <f t="shared" si="100"/>
        <v>0</v>
      </c>
      <c r="K233" s="231"/>
      <c r="L233" s="231">
        <f t="shared" ref="L233:N233" si="101">L194*L$184</f>
        <v>0</v>
      </c>
      <c r="M233" s="231">
        <f t="shared" si="101"/>
        <v>0</v>
      </c>
      <c r="N233" s="231">
        <f t="shared" si="101"/>
        <v>0</v>
      </c>
    </row>
    <row r="234" spans="2:14" hidden="1" outlineLevel="2">
      <c r="C234" s="73" t="str">
        <v>SpareOfferC7</v>
      </c>
      <c r="D234" t="s">
        <v>301</v>
      </c>
      <c r="F234" s="180">
        <f t="shared" si="91"/>
        <v>0</v>
      </c>
      <c r="H234" s="231">
        <f t="shared" ref="H234:J234" si="102">H195*H$184</f>
        <v>0</v>
      </c>
      <c r="I234" s="231">
        <f t="shared" si="102"/>
        <v>0</v>
      </c>
      <c r="J234" s="231">
        <f t="shared" si="102"/>
        <v>0</v>
      </c>
      <c r="K234" s="231"/>
      <c r="L234" s="231">
        <f t="shared" ref="L234:N234" si="103">L195*L$184</f>
        <v>0</v>
      </c>
      <c r="M234" s="231">
        <f t="shared" si="103"/>
        <v>0</v>
      </c>
      <c r="N234" s="231">
        <f t="shared" si="103"/>
        <v>0</v>
      </c>
    </row>
    <row r="235" spans="2:14" hidden="1" outlineLevel="2">
      <c r="C235" s="73" t="str">
        <v>SpareOfferC8</v>
      </c>
      <c r="D235" t="s">
        <v>301</v>
      </c>
      <c r="F235" s="180">
        <f t="shared" si="91"/>
        <v>0</v>
      </c>
      <c r="H235" s="231">
        <f t="shared" ref="H235:J235" si="104">H196*H$184</f>
        <v>0</v>
      </c>
      <c r="I235" s="231">
        <f t="shared" si="104"/>
        <v>0</v>
      </c>
      <c r="J235" s="231">
        <f t="shared" si="104"/>
        <v>0</v>
      </c>
      <c r="K235" s="231"/>
      <c r="L235" s="231">
        <f t="shared" ref="L235:N235" si="105">L196*L$184</f>
        <v>0</v>
      </c>
      <c r="M235" s="231">
        <f t="shared" si="105"/>
        <v>0</v>
      </c>
      <c r="N235" s="231">
        <f t="shared" si="105"/>
        <v>0</v>
      </c>
    </row>
    <row r="236" spans="2:14" hidden="1" outlineLevel="2">
      <c r="C236" s="73" t="str">
        <v>SpareOfferC9</v>
      </c>
      <c r="D236" t="s">
        <v>301</v>
      </c>
      <c r="F236" s="180">
        <f t="shared" si="91"/>
        <v>0</v>
      </c>
      <c r="H236" s="231">
        <f t="shared" ref="H236:J236" si="106">H197*H$184</f>
        <v>0</v>
      </c>
      <c r="I236" s="231">
        <f t="shared" si="106"/>
        <v>0</v>
      </c>
      <c r="J236" s="231">
        <f t="shared" si="106"/>
        <v>0</v>
      </c>
      <c r="K236" s="231"/>
      <c r="L236" s="231">
        <f t="shared" ref="L236:N236" si="107">L197*L$184</f>
        <v>0</v>
      </c>
      <c r="M236" s="231">
        <f t="shared" si="107"/>
        <v>0</v>
      </c>
      <c r="N236" s="231">
        <f t="shared" si="107"/>
        <v>0</v>
      </c>
    </row>
    <row r="237" spans="2:14" hidden="1" outlineLevel="2">
      <c r="C237" s="73" t="str">
        <v>SpareOfferC10</v>
      </c>
      <c r="D237" t="s">
        <v>301</v>
      </c>
      <c r="F237" s="180">
        <f t="shared" si="91"/>
        <v>0</v>
      </c>
      <c r="H237" s="231">
        <f t="shared" ref="H237:J237" si="108">H198*H$184</f>
        <v>0</v>
      </c>
      <c r="I237" s="231">
        <f t="shared" si="108"/>
        <v>0</v>
      </c>
      <c r="J237" s="231">
        <f t="shared" si="108"/>
        <v>0</v>
      </c>
      <c r="K237" s="231"/>
      <c r="L237" s="231">
        <f t="shared" ref="L237:N237" si="109">L198*L$184</f>
        <v>0</v>
      </c>
      <c r="M237" s="231">
        <f t="shared" si="109"/>
        <v>0</v>
      </c>
      <c r="N237" s="231">
        <f t="shared" si="109"/>
        <v>0</v>
      </c>
    </row>
    <row r="238" spans="2:14" hidden="1" outlineLevel="2">
      <c r="C238" s="73" t="str">
        <v>SpareOfferC11</v>
      </c>
      <c r="D238" t="s">
        <v>301</v>
      </c>
      <c r="F238" s="180">
        <f t="shared" si="91"/>
        <v>0</v>
      </c>
      <c r="H238" s="231">
        <f t="shared" ref="H238:J238" si="110">H199*H$184</f>
        <v>0</v>
      </c>
      <c r="I238" s="231">
        <f t="shared" si="110"/>
        <v>0</v>
      </c>
      <c r="J238" s="231">
        <f t="shared" si="110"/>
        <v>0</v>
      </c>
      <c r="K238" s="231"/>
      <c r="L238" s="231">
        <f t="shared" ref="L238:N238" si="111">L199*L$184</f>
        <v>0</v>
      </c>
      <c r="M238" s="231">
        <f t="shared" si="111"/>
        <v>0</v>
      </c>
      <c r="N238" s="231">
        <f t="shared" si="111"/>
        <v>0</v>
      </c>
    </row>
    <row r="239" spans="2:14" hidden="1" outlineLevel="2">
      <c r="C239" s="73" t="str">
        <v>SpareOfferC12</v>
      </c>
      <c r="D239" t="s">
        <v>301</v>
      </c>
      <c r="F239" s="180">
        <f t="shared" si="91"/>
        <v>0</v>
      </c>
      <c r="H239" s="231">
        <f t="shared" ref="H239:J239" si="112">H200*H$184</f>
        <v>0</v>
      </c>
      <c r="I239" s="231">
        <f t="shared" si="112"/>
        <v>0</v>
      </c>
      <c r="J239" s="231">
        <f t="shared" si="112"/>
        <v>0</v>
      </c>
      <c r="K239" s="231"/>
      <c r="L239" s="231">
        <f t="shared" ref="L239:N239" si="113">L200*L$184</f>
        <v>0</v>
      </c>
      <c r="M239" s="231">
        <f t="shared" si="113"/>
        <v>0</v>
      </c>
      <c r="N239" s="231">
        <f t="shared" si="113"/>
        <v>0</v>
      </c>
    </row>
    <row r="240" spans="2:14" hidden="1" outlineLevel="2">
      <c r="C240" s="73" t="str">
        <v>SpareOfferC13</v>
      </c>
      <c r="D240" t="s">
        <v>301</v>
      </c>
      <c r="F240" s="180">
        <f t="shared" si="91"/>
        <v>0</v>
      </c>
      <c r="H240" s="231">
        <f t="shared" ref="H240:J240" si="114">H201*H$184</f>
        <v>0</v>
      </c>
      <c r="I240" s="231">
        <f t="shared" si="114"/>
        <v>0</v>
      </c>
      <c r="J240" s="231">
        <f t="shared" si="114"/>
        <v>0</v>
      </c>
      <c r="K240" s="231"/>
      <c r="L240" s="231">
        <f t="shared" ref="L240:N240" si="115">L201*L$184</f>
        <v>0</v>
      </c>
      <c r="M240" s="231">
        <f t="shared" si="115"/>
        <v>0</v>
      </c>
      <c r="N240" s="231">
        <f t="shared" si="115"/>
        <v>0</v>
      </c>
    </row>
    <row r="241" spans="3:14" hidden="1" outlineLevel="2">
      <c r="C241" s="73" t="str">
        <v>SpareOfferC14</v>
      </c>
      <c r="D241" t="s">
        <v>301</v>
      </c>
      <c r="F241" s="180">
        <f t="shared" si="91"/>
        <v>0</v>
      </c>
      <c r="H241" s="231">
        <f t="shared" ref="H241:J241" si="116">H202*H$184</f>
        <v>0</v>
      </c>
      <c r="I241" s="231">
        <f t="shared" si="116"/>
        <v>0</v>
      </c>
      <c r="J241" s="231">
        <f t="shared" si="116"/>
        <v>0</v>
      </c>
      <c r="K241" s="231"/>
      <c r="L241" s="231">
        <f t="shared" ref="L241:N241" si="117">L202*L$184</f>
        <v>0</v>
      </c>
      <c r="M241" s="231">
        <f t="shared" si="117"/>
        <v>0</v>
      </c>
      <c r="N241" s="231">
        <f t="shared" si="117"/>
        <v>0</v>
      </c>
    </row>
    <row r="242" spans="3:14" hidden="1" outlineLevel="2">
      <c r="C242" s="73" t="str">
        <v>SpareOfferC15</v>
      </c>
      <c r="D242" t="s">
        <v>301</v>
      </c>
      <c r="F242" s="180">
        <f t="shared" si="91"/>
        <v>0</v>
      </c>
      <c r="H242" s="231">
        <f t="shared" ref="H242:J242" si="118">H203*H$184</f>
        <v>0</v>
      </c>
      <c r="I242" s="231">
        <f t="shared" si="118"/>
        <v>0</v>
      </c>
      <c r="J242" s="231">
        <f t="shared" si="118"/>
        <v>0</v>
      </c>
      <c r="K242" s="231"/>
      <c r="L242" s="231">
        <f t="shared" ref="L242:N242" si="119">L203*L$184</f>
        <v>0</v>
      </c>
      <c r="M242" s="231">
        <f t="shared" si="119"/>
        <v>0</v>
      </c>
      <c r="N242" s="231">
        <f t="shared" si="119"/>
        <v>0</v>
      </c>
    </row>
    <row r="243" spans="3:14" hidden="1" outlineLevel="2">
      <c r="C243" s="73" t="str">
        <v>SpareOfferC16</v>
      </c>
      <c r="D243" t="s">
        <v>301</v>
      </c>
      <c r="F243" s="180">
        <f t="shared" si="91"/>
        <v>0</v>
      </c>
      <c r="H243" s="231">
        <f t="shared" ref="H243:J243" si="120">H204*H$184</f>
        <v>0</v>
      </c>
      <c r="I243" s="231">
        <f t="shared" si="120"/>
        <v>0</v>
      </c>
      <c r="J243" s="231">
        <f t="shared" si="120"/>
        <v>0</v>
      </c>
      <c r="K243" s="231"/>
      <c r="L243" s="231">
        <f t="shared" ref="L243:N243" si="121">L204*L$184</f>
        <v>0</v>
      </c>
      <c r="M243" s="231">
        <f t="shared" si="121"/>
        <v>0</v>
      </c>
      <c r="N243" s="231">
        <f t="shared" si="121"/>
        <v>0</v>
      </c>
    </row>
    <row r="244" spans="3:14" hidden="1" outlineLevel="2">
      <c r="C244" s="73" t="str">
        <v>SpareOfferC17</v>
      </c>
      <c r="D244" t="s">
        <v>301</v>
      </c>
      <c r="F244" s="180">
        <f t="shared" si="91"/>
        <v>0</v>
      </c>
      <c r="H244" s="231">
        <f t="shared" ref="H244:J244" si="122">H205*H$184</f>
        <v>0</v>
      </c>
      <c r="I244" s="231">
        <f t="shared" si="122"/>
        <v>0</v>
      </c>
      <c r="J244" s="231">
        <f t="shared" si="122"/>
        <v>0</v>
      </c>
      <c r="K244" s="231"/>
      <c r="L244" s="231">
        <f t="shared" ref="L244:N244" si="123">L205*L$184</f>
        <v>0</v>
      </c>
      <c r="M244" s="231">
        <f t="shared" si="123"/>
        <v>0</v>
      </c>
      <c r="N244" s="231">
        <f t="shared" si="123"/>
        <v>0</v>
      </c>
    </row>
    <row r="245" spans="3:14" hidden="1" outlineLevel="2">
      <c r="C245" s="73" t="str">
        <v>SpareOfferC18</v>
      </c>
      <c r="D245" t="s">
        <v>301</v>
      </c>
      <c r="F245" s="180">
        <f t="shared" si="91"/>
        <v>0</v>
      </c>
      <c r="H245" s="231">
        <f t="shared" ref="H245:J245" si="124">H206*H$184</f>
        <v>0</v>
      </c>
      <c r="I245" s="231">
        <f t="shared" si="124"/>
        <v>0</v>
      </c>
      <c r="J245" s="231">
        <f t="shared" si="124"/>
        <v>0</v>
      </c>
      <c r="K245" s="231"/>
      <c r="L245" s="231">
        <f t="shared" ref="L245:N245" si="125">L206*L$184</f>
        <v>0</v>
      </c>
      <c r="M245" s="231">
        <f t="shared" si="125"/>
        <v>0</v>
      </c>
      <c r="N245" s="231">
        <f t="shared" si="125"/>
        <v>0</v>
      </c>
    </row>
    <row r="246" spans="3:14" hidden="1" outlineLevel="2">
      <c r="C246" s="73" t="str">
        <v>SpareOfferC19</v>
      </c>
      <c r="D246" t="s">
        <v>301</v>
      </c>
      <c r="F246" s="180">
        <f t="shared" si="91"/>
        <v>0</v>
      </c>
      <c r="H246" s="231">
        <f t="shared" ref="H246:J246" si="126">H207*H$184</f>
        <v>0</v>
      </c>
      <c r="I246" s="231">
        <f t="shared" si="126"/>
        <v>0</v>
      </c>
      <c r="J246" s="231">
        <f t="shared" si="126"/>
        <v>0</v>
      </c>
      <c r="K246" s="231"/>
      <c r="L246" s="231">
        <f t="shared" ref="L246:N246" si="127">L207*L$184</f>
        <v>0</v>
      </c>
      <c r="M246" s="231">
        <f t="shared" si="127"/>
        <v>0</v>
      </c>
      <c r="N246" s="231">
        <f t="shared" si="127"/>
        <v>0</v>
      </c>
    </row>
    <row r="247" spans="3:14" hidden="1" outlineLevel="2">
      <c r="C247" s="73" t="str">
        <v>SpareOfferC20</v>
      </c>
      <c r="D247" t="s">
        <v>301</v>
      </c>
      <c r="F247" s="180">
        <f t="shared" si="91"/>
        <v>0</v>
      </c>
      <c r="H247" s="231">
        <f t="shared" ref="H247:J247" si="128">H208*H$184</f>
        <v>0</v>
      </c>
      <c r="I247" s="231">
        <f t="shared" si="128"/>
        <v>0</v>
      </c>
      <c r="J247" s="231">
        <f t="shared" si="128"/>
        <v>0</v>
      </c>
      <c r="K247" s="231"/>
      <c r="L247" s="231">
        <f t="shared" ref="L247:N247" si="129">L208*L$184</f>
        <v>0</v>
      </c>
      <c r="M247" s="231">
        <f t="shared" si="129"/>
        <v>0</v>
      </c>
      <c r="N247" s="231">
        <f t="shared" si="129"/>
        <v>0</v>
      </c>
    </row>
    <row r="248" spans="3:14" hidden="1" outlineLevel="2">
      <c r="C248" s="73" t="str">
        <v>SpareOfferC21</v>
      </c>
      <c r="D248" t="s">
        <v>301</v>
      </c>
      <c r="F248" s="180">
        <f t="shared" si="91"/>
        <v>0</v>
      </c>
      <c r="H248" s="231">
        <f t="shared" ref="H248:J248" si="130">H209*H$184</f>
        <v>0</v>
      </c>
      <c r="I248" s="231">
        <f t="shared" si="130"/>
        <v>0</v>
      </c>
      <c r="J248" s="231">
        <f t="shared" si="130"/>
        <v>0</v>
      </c>
      <c r="K248" s="231"/>
      <c r="L248" s="231">
        <f t="shared" ref="L248:N248" si="131">L209*L$184</f>
        <v>0</v>
      </c>
      <c r="M248" s="231">
        <f t="shared" si="131"/>
        <v>0</v>
      </c>
      <c r="N248" s="231">
        <f t="shared" si="131"/>
        <v>0</v>
      </c>
    </row>
    <row r="249" spans="3:14" hidden="1" outlineLevel="2">
      <c r="C249" s="73" t="str">
        <v>SpareOfferC22</v>
      </c>
      <c r="D249" t="s">
        <v>301</v>
      </c>
      <c r="F249" s="180">
        <f t="shared" si="91"/>
        <v>0</v>
      </c>
      <c r="H249" s="231">
        <f t="shared" ref="H249:J249" si="132">H210*H$184</f>
        <v>0</v>
      </c>
      <c r="I249" s="231">
        <f t="shared" si="132"/>
        <v>0</v>
      </c>
      <c r="J249" s="231">
        <f t="shared" si="132"/>
        <v>0</v>
      </c>
      <c r="K249" s="231"/>
      <c r="L249" s="231">
        <f t="shared" ref="L249:N249" si="133">L210*L$184</f>
        <v>0</v>
      </c>
      <c r="M249" s="231">
        <f t="shared" si="133"/>
        <v>0</v>
      </c>
      <c r="N249" s="231">
        <f t="shared" si="133"/>
        <v>0</v>
      </c>
    </row>
    <row r="250" spans="3:14" hidden="1" outlineLevel="2">
      <c r="C250" s="73" t="str">
        <v>SpareOfferC23</v>
      </c>
      <c r="D250" t="s">
        <v>301</v>
      </c>
      <c r="F250" s="180">
        <f t="shared" si="91"/>
        <v>0</v>
      </c>
      <c r="H250" s="231">
        <f t="shared" ref="H250:J250" si="134">H211*H$184</f>
        <v>0</v>
      </c>
      <c r="I250" s="231">
        <f t="shared" si="134"/>
        <v>0</v>
      </c>
      <c r="J250" s="231">
        <f t="shared" si="134"/>
        <v>0</v>
      </c>
      <c r="K250" s="231"/>
      <c r="L250" s="231">
        <f t="shared" ref="L250:N250" si="135">L211*L$184</f>
        <v>0</v>
      </c>
      <c r="M250" s="231">
        <f t="shared" si="135"/>
        <v>0</v>
      </c>
      <c r="N250" s="231">
        <f t="shared" si="135"/>
        <v>0</v>
      </c>
    </row>
    <row r="251" spans="3:14" hidden="1" outlineLevel="2">
      <c r="C251" s="73" t="str">
        <v>SpareOfferC24</v>
      </c>
      <c r="D251" t="s">
        <v>301</v>
      </c>
      <c r="F251" s="180">
        <f t="shared" si="91"/>
        <v>0</v>
      </c>
      <c r="H251" s="231">
        <f t="shared" ref="H251:J251" si="136">H212*H$184</f>
        <v>0</v>
      </c>
      <c r="I251" s="231">
        <f t="shared" si="136"/>
        <v>0</v>
      </c>
      <c r="J251" s="231">
        <f t="shared" si="136"/>
        <v>0</v>
      </c>
      <c r="K251" s="231"/>
      <c r="L251" s="231">
        <f t="shared" ref="L251:N251" si="137">L212*L$184</f>
        <v>0</v>
      </c>
      <c r="M251" s="231">
        <f t="shared" si="137"/>
        <v>0</v>
      </c>
      <c r="N251" s="231">
        <f t="shared" si="137"/>
        <v>0</v>
      </c>
    </row>
    <row r="252" spans="3:14" hidden="1" outlineLevel="2">
      <c r="C252" s="73" t="str">
        <v>SpareOfferC25</v>
      </c>
      <c r="D252" t="s">
        <v>301</v>
      </c>
      <c r="F252" s="180">
        <f t="shared" si="91"/>
        <v>0</v>
      </c>
      <c r="H252" s="231">
        <f t="shared" ref="H252:J252" si="138">H213*H$184</f>
        <v>0</v>
      </c>
      <c r="I252" s="231">
        <f t="shared" si="138"/>
        <v>0</v>
      </c>
      <c r="J252" s="231">
        <f t="shared" si="138"/>
        <v>0</v>
      </c>
      <c r="K252" s="231"/>
      <c r="L252" s="231">
        <f t="shared" ref="L252:N252" si="139">L213*L$184</f>
        <v>0</v>
      </c>
      <c r="M252" s="231">
        <f t="shared" si="139"/>
        <v>0</v>
      </c>
      <c r="N252" s="231">
        <f t="shared" si="139"/>
        <v>0</v>
      </c>
    </row>
    <row r="253" spans="3:14" hidden="1" outlineLevel="2">
      <c r="C253" s="73" t="str">
        <v>SpareOfferC26</v>
      </c>
      <c r="D253" t="s">
        <v>301</v>
      </c>
      <c r="F253" s="180">
        <f t="shared" si="91"/>
        <v>0</v>
      </c>
      <c r="H253" s="231">
        <f t="shared" ref="H253:J253" si="140">H214*H$184</f>
        <v>0</v>
      </c>
      <c r="I253" s="231">
        <f t="shared" si="140"/>
        <v>0</v>
      </c>
      <c r="J253" s="231">
        <f t="shared" si="140"/>
        <v>0</v>
      </c>
      <c r="K253" s="231"/>
      <c r="L253" s="231">
        <f t="shared" ref="L253:N253" si="141">L214*L$184</f>
        <v>0</v>
      </c>
      <c r="M253" s="231">
        <f t="shared" si="141"/>
        <v>0</v>
      </c>
      <c r="N253" s="231">
        <f t="shared" si="141"/>
        <v>0</v>
      </c>
    </row>
    <row r="254" spans="3:14" hidden="1" outlineLevel="2">
      <c r="C254" s="73" t="str">
        <v>SpareOfferC27</v>
      </c>
      <c r="D254" t="s">
        <v>301</v>
      </c>
      <c r="F254" s="180">
        <f t="shared" si="91"/>
        <v>0</v>
      </c>
      <c r="H254" s="231">
        <f t="shared" ref="H254:J254" si="142">H215*H$184</f>
        <v>0</v>
      </c>
      <c r="I254" s="231">
        <f t="shared" si="142"/>
        <v>0</v>
      </c>
      <c r="J254" s="231">
        <f t="shared" si="142"/>
        <v>0</v>
      </c>
      <c r="K254" s="231"/>
      <c r="L254" s="231">
        <f t="shared" ref="L254:N254" si="143">L215*L$184</f>
        <v>0</v>
      </c>
      <c r="M254" s="231">
        <f t="shared" si="143"/>
        <v>0</v>
      </c>
      <c r="N254" s="231">
        <f t="shared" si="143"/>
        <v>0</v>
      </c>
    </row>
    <row r="255" spans="3:14" hidden="1" outlineLevel="2">
      <c r="C255" s="73" t="str">
        <v>SpareOfferC28</v>
      </c>
      <c r="D255" t="s">
        <v>301</v>
      </c>
      <c r="F255" s="180">
        <f t="shared" si="91"/>
        <v>0</v>
      </c>
      <c r="H255" s="231">
        <f t="shared" ref="H255:J255" si="144">H216*H$184</f>
        <v>0</v>
      </c>
      <c r="I255" s="231">
        <f t="shared" si="144"/>
        <v>0</v>
      </c>
      <c r="J255" s="231">
        <f t="shared" si="144"/>
        <v>0</v>
      </c>
      <c r="K255" s="231"/>
      <c r="L255" s="231">
        <f t="shared" ref="L255:N255" si="145">L216*L$184</f>
        <v>0</v>
      </c>
      <c r="M255" s="231">
        <f t="shared" si="145"/>
        <v>0</v>
      </c>
      <c r="N255" s="231">
        <f t="shared" si="145"/>
        <v>0</v>
      </c>
    </row>
    <row r="256" spans="3:14" hidden="1" outlineLevel="2">
      <c r="C256" s="73" t="str">
        <v>SpareOfferC29</v>
      </c>
      <c r="D256" t="s">
        <v>301</v>
      </c>
      <c r="F256" s="180">
        <f t="shared" si="91"/>
        <v>0</v>
      </c>
      <c r="H256" s="231">
        <f t="shared" ref="H256:J256" si="146">H217*H$184</f>
        <v>0</v>
      </c>
      <c r="I256" s="231">
        <f t="shared" si="146"/>
        <v>0</v>
      </c>
      <c r="J256" s="231">
        <f t="shared" si="146"/>
        <v>0</v>
      </c>
      <c r="K256" s="231"/>
      <c r="L256" s="231">
        <f t="shared" ref="L256:N256" si="147">L217*L$184</f>
        <v>0</v>
      </c>
      <c r="M256" s="231">
        <f t="shared" si="147"/>
        <v>0</v>
      </c>
      <c r="N256" s="231">
        <f t="shared" si="147"/>
        <v>0</v>
      </c>
    </row>
    <row r="257" spans="1:14" hidden="1" outlineLevel="2">
      <c r="C257" s="73" t="str">
        <v>SpareOfferC30</v>
      </c>
      <c r="D257" t="s">
        <v>301</v>
      </c>
      <c r="F257" s="180">
        <f t="shared" si="91"/>
        <v>0</v>
      </c>
      <c r="H257" s="231">
        <f t="shared" ref="H257:J257" si="148">H218*H$184</f>
        <v>0</v>
      </c>
      <c r="I257" s="231">
        <f t="shared" si="148"/>
        <v>0</v>
      </c>
      <c r="J257" s="231">
        <f t="shared" si="148"/>
        <v>0</v>
      </c>
      <c r="K257" s="231"/>
      <c r="L257" s="231">
        <f t="shared" ref="L257:N257" si="149">L218*L$184</f>
        <v>0</v>
      </c>
      <c r="M257" s="231">
        <f t="shared" si="149"/>
        <v>0</v>
      </c>
      <c r="N257" s="231">
        <f t="shared" si="149"/>
        <v>0</v>
      </c>
    </row>
    <row r="258" spans="1:14" hidden="1" outlineLevel="2">
      <c r="C258" s="73" t="str">
        <v>SpareOfferC31</v>
      </c>
      <c r="D258" t="s">
        <v>301</v>
      </c>
      <c r="F258" s="180">
        <f t="shared" si="91"/>
        <v>0</v>
      </c>
      <c r="H258" s="231">
        <f t="shared" ref="H258:J258" si="150">H219*H$184</f>
        <v>0</v>
      </c>
      <c r="I258" s="231">
        <f t="shared" si="150"/>
        <v>0</v>
      </c>
      <c r="J258" s="231">
        <f t="shared" si="150"/>
        <v>0</v>
      </c>
      <c r="K258" s="231"/>
      <c r="L258" s="231">
        <f t="shared" ref="L258:N258" si="151">L219*L$184</f>
        <v>0</v>
      </c>
      <c r="M258" s="231">
        <f t="shared" si="151"/>
        <v>0</v>
      </c>
      <c r="N258" s="231">
        <f t="shared" si="151"/>
        <v>0</v>
      </c>
    </row>
    <row r="259" spans="1:14" hidden="1" outlineLevel="2">
      <c r="C259" s="73" t="str">
        <v>SpareOfferC32</v>
      </c>
      <c r="D259" t="s">
        <v>301</v>
      </c>
      <c r="F259" s="180">
        <f t="shared" si="91"/>
        <v>0</v>
      </c>
      <c r="H259" s="231">
        <f t="shared" ref="H259:J259" si="152">H220*H$184</f>
        <v>0</v>
      </c>
      <c r="I259" s="231">
        <f t="shared" si="152"/>
        <v>0</v>
      </c>
      <c r="J259" s="231">
        <f t="shared" si="152"/>
        <v>0</v>
      </c>
      <c r="K259" s="231"/>
      <c r="L259" s="231">
        <f t="shared" ref="L259:N259" si="153">L220*L$184</f>
        <v>0</v>
      </c>
      <c r="M259" s="231">
        <f t="shared" si="153"/>
        <v>0</v>
      </c>
      <c r="N259" s="231">
        <f t="shared" si="153"/>
        <v>0</v>
      </c>
    </row>
    <row r="260" spans="1:14" hidden="1" outlineLevel="2">
      <c r="C260" s="73" t="str">
        <v>SpareOfferC33</v>
      </c>
      <c r="D260" t="s">
        <v>301</v>
      </c>
      <c r="F260" s="180">
        <f t="shared" si="91"/>
        <v>0</v>
      </c>
      <c r="H260" s="231">
        <f t="shared" ref="H260:J260" si="154">H221*H$184</f>
        <v>0</v>
      </c>
      <c r="I260" s="231">
        <f t="shared" si="154"/>
        <v>0</v>
      </c>
      <c r="J260" s="231">
        <f t="shared" si="154"/>
        <v>0</v>
      </c>
      <c r="K260" s="231"/>
      <c r="L260" s="231">
        <f t="shared" ref="L260:N260" si="155">L221*L$184</f>
        <v>0</v>
      </c>
      <c r="M260" s="231">
        <f t="shared" si="155"/>
        <v>0</v>
      </c>
      <c r="N260" s="231">
        <f t="shared" si="155"/>
        <v>0</v>
      </c>
    </row>
    <row r="261" spans="1:14" hidden="1" outlineLevel="2">
      <c r="C261" s="73" t="str">
        <v>SpareOfferC34</v>
      </c>
      <c r="D261" t="s">
        <v>301</v>
      </c>
      <c r="F261" s="180">
        <f t="shared" si="91"/>
        <v>0</v>
      </c>
      <c r="H261" s="231">
        <f t="shared" ref="H261:J261" si="156">H222*H$184</f>
        <v>0</v>
      </c>
      <c r="I261" s="231">
        <f t="shared" si="156"/>
        <v>0</v>
      </c>
      <c r="J261" s="231">
        <f t="shared" si="156"/>
        <v>0</v>
      </c>
      <c r="K261" s="231"/>
      <c r="L261" s="231">
        <f t="shared" ref="L261:N261" si="157">L222*L$184</f>
        <v>0</v>
      </c>
      <c r="M261" s="231">
        <f t="shared" si="157"/>
        <v>0</v>
      </c>
      <c r="N261" s="231">
        <f t="shared" si="157"/>
        <v>0</v>
      </c>
    </row>
    <row r="262" spans="1:14" outlineLevel="1" collapsed="1">
      <c r="C262" s="73" t="str">
        <v>SpareOfferC35</v>
      </c>
      <c r="D262" t="s">
        <v>301</v>
      </c>
      <c r="F262" s="180">
        <f t="shared" si="91"/>
        <v>0</v>
      </c>
      <c r="H262" s="231">
        <f t="shared" ref="H262:I262" si="158">H223*H$184</f>
        <v>0</v>
      </c>
      <c r="I262" s="231">
        <f t="shared" si="158"/>
        <v>0</v>
      </c>
      <c r="J262" s="231">
        <f>J223*J$184</f>
        <v>0</v>
      </c>
      <c r="K262" s="231"/>
      <c r="L262" s="231">
        <f t="shared" ref="L262:N262" si="159">L223*L$184</f>
        <v>0</v>
      </c>
      <c r="M262" s="231">
        <f t="shared" si="159"/>
        <v>0</v>
      </c>
      <c r="N262" s="231">
        <f t="shared" si="159"/>
        <v>0</v>
      </c>
    </row>
    <row r="264" spans="1:14" s="220" customFormat="1">
      <c r="A264" s="220">
        <v>4</v>
      </c>
      <c r="B264" s="221" t="str">
        <f>INDEX(segments,A264)</f>
        <v>SpareSegmentD</v>
      </c>
      <c r="C264" s="207"/>
    </row>
    <row r="265" spans="1:14" outlineLevel="1"/>
    <row r="266" spans="1:14" outlineLevel="1">
      <c r="H266" s="119" t="s">
        <v>300</v>
      </c>
      <c r="I266" s="119"/>
      <c r="J266" s="119"/>
      <c r="L266" s="119" t="s">
        <v>299</v>
      </c>
      <c r="M266" s="119"/>
      <c r="N266" s="119"/>
    </row>
    <row r="267" spans="1:14" ht="23.25" customHeight="1" outlineLevel="1">
      <c r="B267" s="91" t="s">
        <v>193</v>
      </c>
      <c r="H267" s="1" t="str">
        <f t="array" ref="H267:J267">TRANSPOSE(destination.IC)</f>
        <v>Off-net fixed</v>
      </c>
      <c r="I267" s="1" t="str">
        <v>Off-net mobile</v>
      </c>
      <c r="J267" s="1" t="str">
        <v>International</v>
      </c>
      <c r="L267" s="1" t="str">
        <f t="array" ref="L267:N267">TRANSPOSE(destination.IC)</f>
        <v>Off-net fixed</v>
      </c>
      <c r="M267" s="1" t="str">
        <v>Off-net mobile</v>
      </c>
      <c r="N267" s="1" t="str">
        <v>International</v>
      </c>
    </row>
    <row r="268" spans="1:14" outlineLevel="1">
      <c r="C268" t="s">
        <v>193</v>
      </c>
      <c r="D268" t="s">
        <v>282</v>
      </c>
      <c r="H268" s="241">
        <f t="array" ref="H268:J268">Out.term.voice</f>
        <v>0</v>
      </c>
      <c r="I268" s="241">
        <v>0</v>
      </c>
      <c r="J268" s="241">
        <v>0</v>
      </c>
      <c r="L268" s="241">
        <f t="array" ref="L268:N268">Out.term.SMS</f>
        <v>0</v>
      </c>
      <c r="M268" s="241">
        <v>0</v>
      </c>
      <c r="N268" s="241">
        <v>0</v>
      </c>
    </row>
    <row r="269" spans="1:14" outlineLevel="1"/>
    <row r="270" spans="1:14" ht="23" outlineLevel="1">
      <c r="B270" s="91" t="s">
        <v>194</v>
      </c>
      <c r="F270" s="119" t="s">
        <v>223</v>
      </c>
      <c r="H270" s="119" t="s">
        <v>300</v>
      </c>
      <c r="I270" s="119"/>
      <c r="J270" s="119"/>
      <c r="L270" s="119" t="s">
        <v>299</v>
      </c>
      <c r="M270" s="119"/>
      <c r="N270" s="119"/>
    </row>
    <row r="271" spans="1:14" ht="23" outlineLevel="1">
      <c r="F271" s="119"/>
      <c r="H271" s="1" t="str">
        <f t="array" ref="H271:J271">TRANSPOSE(destination.IC)</f>
        <v>Off-net fixed</v>
      </c>
      <c r="I271" s="1" t="str">
        <v>Off-net mobile</v>
      </c>
      <c r="J271" s="1" t="str">
        <v>International</v>
      </c>
      <c r="L271" s="1" t="str">
        <f t="array" ref="L271:N271">TRANSPOSE(destination.IC)</f>
        <v>Off-net fixed</v>
      </c>
      <c r="M271" s="1" t="str">
        <v>Off-net mobile</v>
      </c>
      <c r="N271" s="1" t="str">
        <v>International</v>
      </c>
    </row>
    <row r="272" spans="1:14" outlineLevel="1">
      <c r="C272" s="91" t="s">
        <v>222</v>
      </c>
      <c r="D272" t="s">
        <v>174</v>
      </c>
      <c r="H272" s="94">
        <f>SUMPRODUCT(H273:H307,$F273:$F307)</f>
        <v>0</v>
      </c>
      <c r="I272" s="94">
        <f t="shared" ref="I272:J272" si="160">SUMPRODUCT(I273:I307,$F273:$F307)</f>
        <v>0</v>
      </c>
      <c r="J272" s="94">
        <f t="shared" si="160"/>
        <v>0</v>
      </c>
      <c r="L272" s="94">
        <f>SUMPRODUCT(L273:L307,$F273:$F307)</f>
        <v>0</v>
      </c>
      <c r="M272" s="94">
        <f t="shared" ref="M272" si="161">SUMPRODUCT(M273:M307,$F273:$F307)</f>
        <v>0</v>
      </c>
      <c r="N272" s="94">
        <f t="shared" ref="N272" si="162">SUMPRODUCT(N273:N307,$F273:$F307)</f>
        <v>0</v>
      </c>
    </row>
    <row r="273" spans="3:14" outlineLevel="1">
      <c r="C273" s="73" t="str">
        <f t="array" ref="C273:C307">offers.segment.4</f>
        <v>SpareOfferD1</v>
      </c>
      <c r="D273" t="s">
        <v>174</v>
      </c>
      <c r="F273" s="87">
        <f t="array" ref="F273:F307">subscription.split.segment.4</f>
        <v>0</v>
      </c>
      <c r="H273" s="240">
        <f t="array" ref="H273:J307">out.IC.min.per.month.segment.4</f>
        <v>0</v>
      </c>
      <c r="I273" s="240">
        <v>0</v>
      </c>
      <c r="J273" s="240">
        <v>0</v>
      </c>
      <c r="K273" s="178"/>
      <c r="L273" s="240">
        <f t="array" ref="L273:N307">out.IC.SMS.per.month.segment.4</f>
        <v>0</v>
      </c>
      <c r="M273" s="240">
        <v>0</v>
      </c>
      <c r="N273" s="240">
        <v>0</v>
      </c>
    </row>
    <row r="274" spans="3:14" hidden="1" outlineLevel="2">
      <c r="C274" s="73" t="str">
        <v>SpareOfferD2</v>
      </c>
      <c r="D274" t="s">
        <v>174</v>
      </c>
      <c r="F274" s="87">
        <v>0</v>
      </c>
      <c r="H274" s="240">
        <v>0</v>
      </c>
      <c r="I274" s="240">
        <v>0</v>
      </c>
      <c r="J274" s="240">
        <v>0</v>
      </c>
      <c r="K274" s="178"/>
      <c r="L274" s="240">
        <v>0</v>
      </c>
      <c r="M274" s="240">
        <v>0</v>
      </c>
      <c r="N274" s="240">
        <v>0</v>
      </c>
    </row>
    <row r="275" spans="3:14" hidden="1" outlineLevel="2">
      <c r="C275" s="73" t="str">
        <v>SpareOfferD3</v>
      </c>
      <c r="D275" t="s">
        <v>174</v>
      </c>
      <c r="F275" s="87">
        <v>0</v>
      </c>
      <c r="H275" s="240">
        <v>0</v>
      </c>
      <c r="I275" s="240">
        <v>0</v>
      </c>
      <c r="J275" s="240">
        <v>0</v>
      </c>
      <c r="K275" s="178"/>
      <c r="L275" s="240">
        <v>0</v>
      </c>
      <c r="M275" s="240">
        <v>0</v>
      </c>
      <c r="N275" s="240">
        <v>0</v>
      </c>
    </row>
    <row r="276" spans="3:14" hidden="1" outlineLevel="2">
      <c r="C276" s="73" t="str">
        <v>SpareOfferD4</v>
      </c>
      <c r="D276" t="s">
        <v>174</v>
      </c>
      <c r="F276" s="87">
        <v>0</v>
      </c>
      <c r="H276" s="240">
        <v>0</v>
      </c>
      <c r="I276" s="240">
        <v>0</v>
      </c>
      <c r="J276" s="240">
        <v>0</v>
      </c>
      <c r="K276" s="178"/>
      <c r="L276" s="240">
        <v>0</v>
      </c>
      <c r="M276" s="240">
        <v>0</v>
      </c>
      <c r="N276" s="240">
        <v>0</v>
      </c>
    </row>
    <row r="277" spans="3:14" hidden="1" outlineLevel="2">
      <c r="C277" s="73" t="str">
        <v>SpareOfferD5</v>
      </c>
      <c r="D277" t="s">
        <v>174</v>
      </c>
      <c r="F277" s="87">
        <v>0</v>
      </c>
      <c r="H277" s="240">
        <v>0</v>
      </c>
      <c r="I277" s="240">
        <v>0</v>
      </c>
      <c r="J277" s="240">
        <v>0</v>
      </c>
      <c r="K277" s="178"/>
      <c r="L277" s="240">
        <v>0</v>
      </c>
      <c r="M277" s="240">
        <v>0</v>
      </c>
      <c r="N277" s="240">
        <v>0</v>
      </c>
    </row>
    <row r="278" spans="3:14" hidden="1" outlineLevel="2">
      <c r="C278" s="73" t="str">
        <v>SpareOfferD6</v>
      </c>
      <c r="D278" t="s">
        <v>174</v>
      </c>
      <c r="F278" s="87">
        <v>0</v>
      </c>
      <c r="H278" s="240">
        <v>0</v>
      </c>
      <c r="I278" s="240">
        <v>0</v>
      </c>
      <c r="J278" s="240">
        <v>0</v>
      </c>
      <c r="K278" s="178"/>
      <c r="L278" s="240">
        <v>0</v>
      </c>
      <c r="M278" s="240">
        <v>0</v>
      </c>
      <c r="N278" s="240">
        <v>0</v>
      </c>
    </row>
    <row r="279" spans="3:14" hidden="1" outlineLevel="2">
      <c r="C279" s="73" t="str">
        <v>SpareOfferD7</v>
      </c>
      <c r="D279" t="s">
        <v>174</v>
      </c>
      <c r="F279" s="87">
        <v>0</v>
      </c>
      <c r="H279" s="240">
        <v>0</v>
      </c>
      <c r="I279" s="240">
        <v>0</v>
      </c>
      <c r="J279" s="240">
        <v>0</v>
      </c>
      <c r="K279" s="178"/>
      <c r="L279" s="240">
        <v>0</v>
      </c>
      <c r="M279" s="240">
        <v>0</v>
      </c>
      <c r="N279" s="240">
        <v>0</v>
      </c>
    </row>
    <row r="280" spans="3:14" hidden="1" outlineLevel="2">
      <c r="C280" s="73" t="str">
        <v>SpareOfferD8</v>
      </c>
      <c r="D280" t="s">
        <v>174</v>
      </c>
      <c r="F280" s="87">
        <v>0</v>
      </c>
      <c r="H280" s="240">
        <v>0</v>
      </c>
      <c r="I280" s="240">
        <v>0</v>
      </c>
      <c r="J280" s="240">
        <v>0</v>
      </c>
      <c r="K280" s="178"/>
      <c r="L280" s="240">
        <v>0</v>
      </c>
      <c r="M280" s="240">
        <v>0</v>
      </c>
      <c r="N280" s="240">
        <v>0</v>
      </c>
    </row>
    <row r="281" spans="3:14" hidden="1" outlineLevel="2">
      <c r="C281" s="73" t="str">
        <v>SpareOfferD9</v>
      </c>
      <c r="D281" t="s">
        <v>174</v>
      </c>
      <c r="F281" s="87">
        <v>0</v>
      </c>
      <c r="H281" s="240">
        <v>0</v>
      </c>
      <c r="I281" s="240">
        <v>0</v>
      </c>
      <c r="J281" s="240">
        <v>0</v>
      </c>
      <c r="K281" s="178"/>
      <c r="L281" s="240">
        <v>0</v>
      </c>
      <c r="M281" s="240">
        <v>0</v>
      </c>
      <c r="N281" s="240">
        <v>0</v>
      </c>
    </row>
    <row r="282" spans="3:14" hidden="1" outlineLevel="2">
      <c r="C282" s="73" t="str">
        <v>SpareOfferD10</v>
      </c>
      <c r="D282" t="s">
        <v>174</v>
      </c>
      <c r="F282" s="87">
        <v>0</v>
      </c>
      <c r="H282" s="240">
        <v>0</v>
      </c>
      <c r="I282" s="240">
        <v>0</v>
      </c>
      <c r="J282" s="240">
        <v>0</v>
      </c>
      <c r="K282" s="178"/>
      <c r="L282" s="240">
        <v>0</v>
      </c>
      <c r="M282" s="240">
        <v>0</v>
      </c>
      <c r="N282" s="240">
        <v>0</v>
      </c>
    </row>
    <row r="283" spans="3:14" hidden="1" outlineLevel="2">
      <c r="C283" s="73" t="str">
        <v>SpareOfferD11</v>
      </c>
      <c r="D283" t="s">
        <v>174</v>
      </c>
      <c r="F283" s="87">
        <v>0</v>
      </c>
      <c r="H283" s="240">
        <v>0</v>
      </c>
      <c r="I283" s="240">
        <v>0</v>
      </c>
      <c r="J283" s="240">
        <v>0</v>
      </c>
      <c r="K283" s="178"/>
      <c r="L283" s="240">
        <v>0</v>
      </c>
      <c r="M283" s="240">
        <v>0</v>
      </c>
      <c r="N283" s="240">
        <v>0</v>
      </c>
    </row>
    <row r="284" spans="3:14" hidden="1" outlineLevel="2">
      <c r="C284" s="73" t="str">
        <v>SpareOfferD12</v>
      </c>
      <c r="D284" t="s">
        <v>174</v>
      </c>
      <c r="F284" s="87">
        <v>0</v>
      </c>
      <c r="H284" s="240">
        <v>0</v>
      </c>
      <c r="I284" s="240">
        <v>0</v>
      </c>
      <c r="J284" s="240">
        <v>0</v>
      </c>
      <c r="K284" s="178"/>
      <c r="L284" s="240">
        <v>0</v>
      </c>
      <c r="M284" s="240">
        <v>0</v>
      </c>
      <c r="N284" s="240">
        <v>0</v>
      </c>
    </row>
    <row r="285" spans="3:14" hidden="1" outlineLevel="2">
      <c r="C285" s="73" t="str">
        <v>SpareOfferD13</v>
      </c>
      <c r="D285" t="s">
        <v>174</v>
      </c>
      <c r="F285" s="87">
        <v>0</v>
      </c>
      <c r="H285" s="240">
        <v>0</v>
      </c>
      <c r="I285" s="240">
        <v>0</v>
      </c>
      <c r="J285" s="240">
        <v>0</v>
      </c>
      <c r="K285" s="178"/>
      <c r="L285" s="240">
        <v>0</v>
      </c>
      <c r="M285" s="240">
        <v>0</v>
      </c>
      <c r="N285" s="240">
        <v>0</v>
      </c>
    </row>
    <row r="286" spans="3:14" hidden="1" outlineLevel="2">
      <c r="C286" s="73" t="str">
        <v>SpareOfferD14</v>
      </c>
      <c r="D286" t="s">
        <v>174</v>
      </c>
      <c r="F286" s="87">
        <v>0</v>
      </c>
      <c r="H286" s="240">
        <v>0</v>
      </c>
      <c r="I286" s="240">
        <v>0</v>
      </c>
      <c r="J286" s="240">
        <v>0</v>
      </c>
      <c r="K286" s="178"/>
      <c r="L286" s="240">
        <v>0</v>
      </c>
      <c r="M286" s="240">
        <v>0</v>
      </c>
      <c r="N286" s="240">
        <v>0</v>
      </c>
    </row>
    <row r="287" spans="3:14" hidden="1" outlineLevel="2">
      <c r="C287" s="73" t="str">
        <v>SpareOfferD15</v>
      </c>
      <c r="D287" t="s">
        <v>174</v>
      </c>
      <c r="F287" s="87">
        <v>0</v>
      </c>
      <c r="H287" s="240">
        <v>0</v>
      </c>
      <c r="I287" s="240">
        <v>0</v>
      </c>
      <c r="J287" s="240">
        <v>0</v>
      </c>
      <c r="K287" s="178"/>
      <c r="L287" s="240">
        <v>0</v>
      </c>
      <c r="M287" s="240">
        <v>0</v>
      </c>
      <c r="N287" s="240">
        <v>0</v>
      </c>
    </row>
    <row r="288" spans="3:14" hidden="1" outlineLevel="2">
      <c r="C288" s="73" t="str">
        <v>SpareOfferD16</v>
      </c>
      <c r="D288" t="s">
        <v>174</v>
      </c>
      <c r="F288" s="87">
        <v>0</v>
      </c>
      <c r="H288" s="240">
        <v>0</v>
      </c>
      <c r="I288" s="240">
        <v>0</v>
      </c>
      <c r="J288" s="240">
        <v>0</v>
      </c>
      <c r="K288" s="178"/>
      <c r="L288" s="240">
        <v>0</v>
      </c>
      <c r="M288" s="240">
        <v>0</v>
      </c>
      <c r="N288" s="240">
        <v>0</v>
      </c>
    </row>
    <row r="289" spans="3:14" hidden="1" outlineLevel="2">
      <c r="C289" s="73" t="str">
        <v>SpareOfferD17</v>
      </c>
      <c r="D289" t="s">
        <v>174</v>
      </c>
      <c r="F289" s="87">
        <v>0</v>
      </c>
      <c r="H289" s="240">
        <v>0</v>
      </c>
      <c r="I289" s="240">
        <v>0</v>
      </c>
      <c r="J289" s="240">
        <v>0</v>
      </c>
      <c r="K289" s="178"/>
      <c r="L289" s="240">
        <v>0</v>
      </c>
      <c r="M289" s="240">
        <v>0</v>
      </c>
      <c r="N289" s="240">
        <v>0</v>
      </c>
    </row>
    <row r="290" spans="3:14" hidden="1" outlineLevel="2">
      <c r="C290" s="73" t="str">
        <v>SpareOfferD18</v>
      </c>
      <c r="D290" t="s">
        <v>174</v>
      </c>
      <c r="F290" s="87">
        <v>0</v>
      </c>
      <c r="H290" s="240">
        <v>0</v>
      </c>
      <c r="I290" s="240">
        <v>0</v>
      </c>
      <c r="J290" s="240">
        <v>0</v>
      </c>
      <c r="K290" s="178"/>
      <c r="L290" s="240">
        <v>0</v>
      </c>
      <c r="M290" s="240">
        <v>0</v>
      </c>
      <c r="N290" s="240">
        <v>0</v>
      </c>
    </row>
    <row r="291" spans="3:14" hidden="1" outlineLevel="2">
      <c r="C291" s="73" t="str">
        <v>SpareOfferD19</v>
      </c>
      <c r="D291" t="s">
        <v>174</v>
      </c>
      <c r="F291" s="87">
        <v>0</v>
      </c>
      <c r="H291" s="240">
        <v>0</v>
      </c>
      <c r="I291" s="240">
        <v>0</v>
      </c>
      <c r="J291" s="240">
        <v>0</v>
      </c>
      <c r="K291" s="178"/>
      <c r="L291" s="240">
        <v>0</v>
      </c>
      <c r="M291" s="240">
        <v>0</v>
      </c>
      <c r="N291" s="240">
        <v>0</v>
      </c>
    </row>
    <row r="292" spans="3:14" hidden="1" outlineLevel="2">
      <c r="C292" s="73" t="str">
        <v>SpareOfferD20</v>
      </c>
      <c r="D292" t="s">
        <v>174</v>
      </c>
      <c r="F292" s="87">
        <v>0</v>
      </c>
      <c r="H292" s="240">
        <v>0</v>
      </c>
      <c r="I292" s="240">
        <v>0</v>
      </c>
      <c r="J292" s="240">
        <v>0</v>
      </c>
      <c r="K292" s="178"/>
      <c r="L292" s="240">
        <v>0</v>
      </c>
      <c r="M292" s="240">
        <v>0</v>
      </c>
      <c r="N292" s="240">
        <v>0</v>
      </c>
    </row>
    <row r="293" spans="3:14" hidden="1" outlineLevel="2">
      <c r="C293" s="73" t="str">
        <v>SpareOfferD21</v>
      </c>
      <c r="D293" t="s">
        <v>174</v>
      </c>
      <c r="F293" s="87">
        <v>0</v>
      </c>
      <c r="H293" s="240">
        <v>0</v>
      </c>
      <c r="I293" s="240">
        <v>0</v>
      </c>
      <c r="J293" s="240">
        <v>0</v>
      </c>
      <c r="K293" s="178"/>
      <c r="L293" s="240">
        <v>0</v>
      </c>
      <c r="M293" s="240">
        <v>0</v>
      </c>
      <c r="N293" s="240">
        <v>0</v>
      </c>
    </row>
    <row r="294" spans="3:14" hidden="1" outlineLevel="2">
      <c r="C294" s="73" t="str">
        <v>SpareOfferD22</v>
      </c>
      <c r="D294" t="s">
        <v>174</v>
      </c>
      <c r="F294" s="87">
        <v>0</v>
      </c>
      <c r="H294" s="240">
        <v>0</v>
      </c>
      <c r="I294" s="240">
        <v>0</v>
      </c>
      <c r="J294" s="240">
        <v>0</v>
      </c>
      <c r="K294" s="178"/>
      <c r="L294" s="240">
        <v>0</v>
      </c>
      <c r="M294" s="240">
        <v>0</v>
      </c>
      <c r="N294" s="240">
        <v>0</v>
      </c>
    </row>
    <row r="295" spans="3:14" hidden="1" outlineLevel="2">
      <c r="C295" s="73" t="str">
        <v>SpareOfferD23</v>
      </c>
      <c r="D295" t="s">
        <v>174</v>
      </c>
      <c r="F295" s="87">
        <v>0</v>
      </c>
      <c r="H295" s="240">
        <v>0</v>
      </c>
      <c r="I295" s="240">
        <v>0</v>
      </c>
      <c r="J295" s="240">
        <v>0</v>
      </c>
      <c r="K295" s="178"/>
      <c r="L295" s="240">
        <v>0</v>
      </c>
      <c r="M295" s="240">
        <v>0</v>
      </c>
      <c r="N295" s="240">
        <v>0</v>
      </c>
    </row>
    <row r="296" spans="3:14" hidden="1" outlineLevel="2">
      <c r="C296" s="73" t="str">
        <v>SpareOfferD24</v>
      </c>
      <c r="D296" t="s">
        <v>174</v>
      </c>
      <c r="F296" s="87">
        <v>0</v>
      </c>
      <c r="H296" s="240">
        <v>0</v>
      </c>
      <c r="I296" s="240">
        <v>0</v>
      </c>
      <c r="J296" s="240">
        <v>0</v>
      </c>
      <c r="K296" s="178"/>
      <c r="L296" s="240">
        <v>0</v>
      </c>
      <c r="M296" s="240">
        <v>0</v>
      </c>
      <c r="N296" s="240">
        <v>0</v>
      </c>
    </row>
    <row r="297" spans="3:14" hidden="1" outlineLevel="2">
      <c r="C297" s="73" t="str">
        <v>SpareOfferD25</v>
      </c>
      <c r="D297" t="s">
        <v>174</v>
      </c>
      <c r="F297" s="87">
        <v>0</v>
      </c>
      <c r="H297" s="240">
        <v>0</v>
      </c>
      <c r="I297" s="240">
        <v>0</v>
      </c>
      <c r="J297" s="240">
        <v>0</v>
      </c>
      <c r="K297" s="178"/>
      <c r="L297" s="240">
        <v>0</v>
      </c>
      <c r="M297" s="240">
        <v>0</v>
      </c>
      <c r="N297" s="240">
        <v>0</v>
      </c>
    </row>
    <row r="298" spans="3:14" hidden="1" outlineLevel="2">
      <c r="C298" s="73" t="str">
        <v>SpareOfferD26</v>
      </c>
      <c r="D298" t="s">
        <v>174</v>
      </c>
      <c r="F298" s="87">
        <v>0</v>
      </c>
      <c r="H298" s="240">
        <v>0</v>
      </c>
      <c r="I298" s="240">
        <v>0</v>
      </c>
      <c r="J298" s="240">
        <v>0</v>
      </c>
      <c r="K298" s="178"/>
      <c r="L298" s="240">
        <v>0</v>
      </c>
      <c r="M298" s="240">
        <v>0</v>
      </c>
      <c r="N298" s="240">
        <v>0</v>
      </c>
    </row>
    <row r="299" spans="3:14" hidden="1" outlineLevel="2">
      <c r="C299" s="73" t="str">
        <v>SpareOfferD27</v>
      </c>
      <c r="D299" t="s">
        <v>174</v>
      </c>
      <c r="F299" s="87">
        <v>0</v>
      </c>
      <c r="H299" s="240">
        <v>0</v>
      </c>
      <c r="I299" s="240">
        <v>0</v>
      </c>
      <c r="J299" s="240">
        <v>0</v>
      </c>
      <c r="K299" s="178"/>
      <c r="L299" s="240">
        <v>0</v>
      </c>
      <c r="M299" s="240">
        <v>0</v>
      </c>
      <c r="N299" s="240">
        <v>0</v>
      </c>
    </row>
    <row r="300" spans="3:14" hidden="1" outlineLevel="2">
      <c r="C300" s="73" t="str">
        <v>SpareOfferD28</v>
      </c>
      <c r="D300" t="s">
        <v>174</v>
      </c>
      <c r="F300" s="87">
        <v>0</v>
      </c>
      <c r="H300" s="240">
        <v>0</v>
      </c>
      <c r="I300" s="240">
        <v>0</v>
      </c>
      <c r="J300" s="240">
        <v>0</v>
      </c>
      <c r="K300" s="178"/>
      <c r="L300" s="240">
        <v>0</v>
      </c>
      <c r="M300" s="240">
        <v>0</v>
      </c>
      <c r="N300" s="240">
        <v>0</v>
      </c>
    </row>
    <row r="301" spans="3:14" hidden="1" outlineLevel="2">
      <c r="C301" s="73" t="str">
        <v>SpareOfferD29</v>
      </c>
      <c r="D301" t="s">
        <v>174</v>
      </c>
      <c r="F301" s="87">
        <v>0</v>
      </c>
      <c r="H301" s="240">
        <v>0</v>
      </c>
      <c r="I301" s="240">
        <v>0</v>
      </c>
      <c r="J301" s="240">
        <v>0</v>
      </c>
      <c r="K301" s="178"/>
      <c r="L301" s="240">
        <v>0</v>
      </c>
      <c r="M301" s="240">
        <v>0</v>
      </c>
      <c r="N301" s="240">
        <v>0</v>
      </c>
    </row>
    <row r="302" spans="3:14" hidden="1" outlineLevel="2">
      <c r="C302" s="73" t="str">
        <v>SpareOfferD30</v>
      </c>
      <c r="D302" t="s">
        <v>174</v>
      </c>
      <c r="F302" s="87">
        <v>0</v>
      </c>
      <c r="H302" s="240">
        <v>0</v>
      </c>
      <c r="I302" s="240">
        <v>0</v>
      </c>
      <c r="J302" s="240">
        <v>0</v>
      </c>
      <c r="K302" s="178"/>
      <c r="L302" s="240">
        <v>0</v>
      </c>
      <c r="M302" s="240">
        <v>0</v>
      </c>
      <c r="N302" s="240">
        <v>0</v>
      </c>
    </row>
    <row r="303" spans="3:14" hidden="1" outlineLevel="2">
      <c r="C303" s="73" t="str">
        <v>SpareOfferD31</v>
      </c>
      <c r="D303" t="s">
        <v>174</v>
      </c>
      <c r="F303" s="87">
        <v>0</v>
      </c>
      <c r="H303" s="240">
        <v>0</v>
      </c>
      <c r="I303" s="240">
        <v>0</v>
      </c>
      <c r="J303" s="240">
        <v>0</v>
      </c>
      <c r="K303" s="178"/>
      <c r="L303" s="240">
        <v>0</v>
      </c>
      <c r="M303" s="240">
        <v>0</v>
      </c>
      <c r="N303" s="240">
        <v>0</v>
      </c>
    </row>
    <row r="304" spans="3:14" hidden="1" outlineLevel="2">
      <c r="C304" s="73" t="str">
        <v>SpareOfferD32</v>
      </c>
      <c r="D304" t="s">
        <v>174</v>
      </c>
      <c r="F304" s="87">
        <v>0</v>
      </c>
      <c r="H304" s="240">
        <v>0</v>
      </c>
      <c r="I304" s="240">
        <v>0</v>
      </c>
      <c r="J304" s="240">
        <v>0</v>
      </c>
      <c r="K304" s="178"/>
      <c r="L304" s="240">
        <v>0</v>
      </c>
      <c r="M304" s="240">
        <v>0</v>
      </c>
      <c r="N304" s="240">
        <v>0</v>
      </c>
    </row>
    <row r="305" spans="2:14" hidden="1" outlineLevel="2">
      <c r="C305" s="73" t="str">
        <v>SpareOfferD33</v>
      </c>
      <c r="D305" t="s">
        <v>174</v>
      </c>
      <c r="F305" s="87">
        <v>0</v>
      </c>
      <c r="H305" s="240">
        <v>0</v>
      </c>
      <c r="I305" s="240">
        <v>0</v>
      </c>
      <c r="J305" s="240">
        <v>0</v>
      </c>
      <c r="K305" s="178"/>
      <c r="L305" s="240">
        <v>0</v>
      </c>
      <c r="M305" s="240">
        <v>0</v>
      </c>
      <c r="N305" s="240">
        <v>0</v>
      </c>
    </row>
    <row r="306" spans="2:14" hidden="1" outlineLevel="2">
      <c r="C306" s="73" t="str">
        <v>SpareOfferD34</v>
      </c>
      <c r="D306" t="s">
        <v>174</v>
      </c>
      <c r="F306" s="87">
        <v>0</v>
      </c>
      <c r="H306" s="240">
        <v>0</v>
      </c>
      <c r="I306" s="240">
        <v>0</v>
      </c>
      <c r="J306" s="240">
        <v>0</v>
      </c>
      <c r="K306" s="178"/>
      <c r="L306" s="240">
        <v>0</v>
      </c>
      <c r="M306" s="240">
        <v>0</v>
      </c>
      <c r="N306" s="240">
        <v>0</v>
      </c>
    </row>
    <row r="307" spans="2:14" outlineLevel="1" collapsed="1">
      <c r="C307" s="73" t="str">
        <v>-</v>
      </c>
      <c r="D307" t="s">
        <v>174</v>
      </c>
      <c r="F307" s="87">
        <v>0</v>
      </c>
      <c r="H307" s="240">
        <v>0</v>
      </c>
      <c r="I307" s="240">
        <v>0</v>
      </c>
      <c r="J307" s="240">
        <v>0</v>
      </c>
      <c r="K307" s="178"/>
      <c r="L307" s="240">
        <v>0</v>
      </c>
      <c r="M307" s="240">
        <v>0</v>
      </c>
      <c r="N307" s="240">
        <v>0</v>
      </c>
    </row>
    <row r="308" spans="2:14" outlineLevel="1"/>
    <row r="309" spans="2:14" ht="12.75" customHeight="1" outlineLevel="1">
      <c r="F309" s="127" t="s">
        <v>190</v>
      </c>
      <c r="H309" s="119" t="s">
        <v>300</v>
      </c>
      <c r="I309" s="119"/>
      <c r="J309" s="119"/>
      <c r="L309" s="119" t="s">
        <v>299</v>
      </c>
      <c r="M309" s="119"/>
      <c r="N309" s="119"/>
    </row>
    <row r="310" spans="2:14" ht="23" outlineLevel="1">
      <c r="B310" s="91" t="s">
        <v>219</v>
      </c>
      <c r="F310" s="127"/>
      <c r="H310" s="1" t="str">
        <f t="array" ref="H310:J310">TRANSPOSE(destination.IC)</f>
        <v>Off-net fixed</v>
      </c>
      <c r="I310" s="1" t="str">
        <v>Off-net mobile</v>
      </c>
      <c r="J310" s="1" t="str">
        <v>International</v>
      </c>
      <c r="L310" s="1" t="str">
        <f t="array" ref="L310:N310">TRANSPOSE(destination.IC)</f>
        <v>Off-net fixed</v>
      </c>
      <c r="M310" s="1" t="str">
        <v>Off-net mobile</v>
      </c>
      <c r="N310" s="1" t="str">
        <v>International</v>
      </c>
    </row>
    <row r="311" spans="2:14" outlineLevel="1">
      <c r="C311" s="93" t="s">
        <v>339</v>
      </c>
      <c r="D311" s="97" t="s">
        <v>189</v>
      </c>
      <c r="F311" s="146">
        <f t="shared" ref="F311" si="163">SUM(H311:J311,L311:N311)</f>
        <v>0</v>
      </c>
      <c r="H311" s="231">
        <f>H272*H$268</f>
        <v>0</v>
      </c>
      <c r="I311" s="231">
        <f t="shared" ref="I311:J311" si="164">I272*I$268</f>
        <v>0</v>
      </c>
      <c r="J311" s="231">
        <f t="shared" si="164"/>
        <v>0</v>
      </c>
      <c r="L311" s="231">
        <f t="shared" ref="L311:N311" si="165">L272*L$268</f>
        <v>0</v>
      </c>
      <c r="M311" s="231">
        <f t="shared" si="165"/>
        <v>0</v>
      </c>
      <c r="N311" s="231">
        <f t="shared" si="165"/>
        <v>0</v>
      </c>
    </row>
    <row r="312" spans="2:14" outlineLevel="1">
      <c r="C312" s="73" t="str">
        <f t="array" ref="C312:C346">offers.segment.4</f>
        <v>SpareOfferD1</v>
      </c>
      <c r="D312" t="s">
        <v>301</v>
      </c>
      <c r="F312" s="180">
        <f>SUM(H312:J312,L312:N312)</f>
        <v>0</v>
      </c>
      <c r="H312" s="231">
        <f t="shared" ref="H312:J312" si="166">H273*H$268</f>
        <v>0</v>
      </c>
      <c r="I312" s="231">
        <f t="shared" si="166"/>
        <v>0</v>
      </c>
      <c r="J312" s="231">
        <f t="shared" si="166"/>
        <v>0</v>
      </c>
      <c r="L312" s="231">
        <f t="shared" ref="L312:N312" si="167">L273*L$268</f>
        <v>0</v>
      </c>
      <c r="M312" s="231">
        <f t="shared" si="167"/>
        <v>0</v>
      </c>
      <c r="N312" s="231">
        <f t="shared" si="167"/>
        <v>0</v>
      </c>
    </row>
    <row r="313" spans="2:14" hidden="1" outlineLevel="2">
      <c r="C313" s="73" t="str">
        <v>SpareOfferD2</v>
      </c>
      <c r="D313" t="s">
        <v>301</v>
      </c>
      <c r="F313" s="180">
        <f t="shared" ref="F313:F346" si="168">SUM(H313:J313,L313:N313)</f>
        <v>0</v>
      </c>
      <c r="H313" s="231">
        <f t="shared" ref="H313:J313" si="169">H274*H$268</f>
        <v>0</v>
      </c>
      <c r="I313" s="231">
        <f t="shared" si="169"/>
        <v>0</v>
      </c>
      <c r="J313" s="231">
        <f t="shared" si="169"/>
        <v>0</v>
      </c>
      <c r="L313" s="231">
        <f t="shared" ref="L313:N313" si="170">L274*L$268</f>
        <v>0</v>
      </c>
      <c r="M313" s="231">
        <f t="shared" si="170"/>
        <v>0</v>
      </c>
      <c r="N313" s="231">
        <f t="shared" si="170"/>
        <v>0</v>
      </c>
    </row>
    <row r="314" spans="2:14" hidden="1" outlineLevel="2">
      <c r="C314" s="73" t="str">
        <v>SpareOfferD3</v>
      </c>
      <c r="D314" t="s">
        <v>301</v>
      </c>
      <c r="F314" s="180">
        <f t="shared" si="168"/>
        <v>0</v>
      </c>
      <c r="H314" s="231">
        <f t="shared" ref="H314:J314" si="171">H275*H$268</f>
        <v>0</v>
      </c>
      <c r="I314" s="231">
        <f t="shared" si="171"/>
        <v>0</v>
      </c>
      <c r="J314" s="231">
        <f t="shared" si="171"/>
        <v>0</v>
      </c>
      <c r="L314" s="231">
        <f t="shared" ref="L314:N314" si="172">L275*L$268</f>
        <v>0</v>
      </c>
      <c r="M314" s="231">
        <f t="shared" si="172"/>
        <v>0</v>
      </c>
      <c r="N314" s="231">
        <f t="shared" si="172"/>
        <v>0</v>
      </c>
    </row>
    <row r="315" spans="2:14" hidden="1" outlineLevel="2">
      <c r="C315" s="73" t="str">
        <v>SpareOfferD4</v>
      </c>
      <c r="D315" t="s">
        <v>301</v>
      </c>
      <c r="F315" s="180">
        <f t="shared" si="168"/>
        <v>0</v>
      </c>
      <c r="H315" s="231">
        <f t="shared" ref="H315:J315" si="173">H276*H$268</f>
        <v>0</v>
      </c>
      <c r="I315" s="231">
        <f t="shared" si="173"/>
        <v>0</v>
      </c>
      <c r="J315" s="231">
        <f t="shared" si="173"/>
        <v>0</v>
      </c>
      <c r="L315" s="231">
        <f t="shared" ref="L315:N315" si="174">L276*L$268</f>
        <v>0</v>
      </c>
      <c r="M315" s="231">
        <f t="shared" si="174"/>
        <v>0</v>
      </c>
      <c r="N315" s="231">
        <f t="shared" si="174"/>
        <v>0</v>
      </c>
    </row>
    <row r="316" spans="2:14" hidden="1" outlineLevel="2">
      <c r="C316" s="73" t="str">
        <v>SpareOfferD5</v>
      </c>
      <c r="D316" t="s">
        <v>301</v>
      </c>
      <c r="F316" s="180">
        <f t="shared" si="168"/>
        <v>0</v>
      </c>
      <c r="H316" s="231">
        <f t="shared" ref="H316:J316" si="175">H277*H$268</f>
        <v>0</v>
      </c>
      <c r="I316" s="231">
        <f t="shared" si="175"/>
        <v>0</v>
      </c>
      <c r="J316" s="231">
        <f t="shared" si="175"/>
        <v>0</v>
      </c>
      <c r="L316" s="231">
        <f t="shared" ref="L316:N316" si="176">L277*L$268</f>
        <v>0</v>
      </c>
      <c r="M316" s="231">
        <f t="shared" si="176"/>
        <v>0</v>
      </c>
      <c r="N316" s="231">
        <f t="shared" si="176"/>
        <v>0</v>
      </c>
    </row>
    <row r="317" spans="2:14" hidden="1" outlineLevel="2">
      <c r="C317" s="73" t="str">
        <v>SpareOfferD6</v>
      </c>
      <c r="D317" t="s">
        <v>301</v>
      </c>
      <c r="F317" s="180">
        <f t="shared" si="168"/>
        <v>0</v>
      </c>
      <c r="H317" s="231">
        <f t="shared" ref="H317:J317" si="177">H278*H$268</f>
        <v>0</v>
      </c>
      <c r="I317" s="231">
        <f t="shared" si="177"/>
        <v>0</v>
      </c>
      <c r="J317" s="231">
        <f t="shared" si="177"/>
        <v>0</v>
      </c>
      <c r="L317" s="231">
        <f t="shared" ref="L317:N317" si="178">L278*L$268</f>
        <v>0</v>
      </c>
      <c r="M317" s="231">
        <f t="shared" si="178"/>
        <v>0</v>
      </c>
      <c r="N317" s="231">
        <f t="shared" si="178"/>
        <v>0</v>
      </c>
    </row>
    <row r="318" spans="2:14" hidden="1" outlineLevel="2">
      <c r="C318" s="73" t="str">
        <v>SpareOfferD7</v>
      </c>
      <c r="D318" t="s">
        <v>301</v>
      </c>
      <c r="F318" s="180">
        <f t="shared" si="168"/>
        <v>0</v>
      </c>
      <c r="H318" s="231">
        <f t="shared" ref="H318:J318" si="179">H279*H$268</f>
        <v>0</v>
      </c>
      <c r="I318" s="231">
        <f t="shared" si="179"/>
        <v>0</v>
      </c>
      <c r="J318" s="231">
        <f t="shared" si="179"/>
        <v>0</v>
      </c>
      <c r="L318" s="231">
        <f t="shared" ref="L318:N318" si="180">L279*L$268</f>
        <v>0</v>
      </c>
      <c r="M318" s="231">
        <f t="shared" si="180"/>
        <v>0</v>
      </c>
      <c r="N318" s="231">
        <f t="shared" si="180"/>
        <v>0</v>
      </c>
    </row>
    <row r="319" spans="2:14" hidden="1" outlineLevel="2">
      <c r="C319" s="73" t="str">
        <v>SpareOfferD8</v>
      </c>
      <c r="D319" t="s">
        <v>301</v>
      </c>
      <c r="F319" s="180">
        <f t="shared" si="168"/>
        <v>0</v>
      </c>
      <c r="H319" s="231">
        <f t="shared" ref="H319:J319" si="181">H280*H$268</f>
        <v>0</v>
      </c>
      <c r="I319" s="231">
        <f t="shared" si="181"/>
        <v>0</v>
      </c>
      <c r="J319" s="231">
        <f t="shared" si="181"/>
        <v>0</v>
      </c>
      <c r="L319" s="231">
        <f t="shared" ref="L319:N319" si="182">L280*L$268</f>
        <v>0</v>
      </c>
      <c r="M319" s="231">
        <f t="shared" si="182"/>
        <v>0</v>
      </c>
      <c r="N319" s="231">
        <f t="shared" si="182"/>
        <v>0</v>
      </c>
    </row>
    <row r="320" spans="2:14" hidden="1" outlineLevel="2">
      <c r="C320" s="73" t="str">
        <v>SpareOfferD9</v>
      </c>
      <c r="D320" t="s">
        <v>301</v>
      </c>
      <c r="F320" s="180">
        <f t="shared" si="168"/>
        <v>0</v>
      </c>
      <c r="H320" s="231">
        <f t="shared" ref="H320:J320" si="183">H281*H$268</f>
        <v>0</v>
      </c>
      <c r="I320" s="231">
        <f t="shared" si="183"/>
        <v>0</v>
      </c>
      <c r="J320" s="231">
        <f t="shared" si="183"/>
        <v>0</v>
      </c>
      <c r="L320" s="231">
        <f t="shared" ref="L320:N320" si="184">L281*L$268</f>
        <v>0</v>
      </c>
      <c r="M320" s="231">
        <f t="shared" si="184"/>
        <v>0</v>
      </c>
      <c r="N320" s="231">
        <f t="shared" si="184"/>
        <v>0</v>
      </c>
    </row>
    <row r="321" spans="3:14" hidden="1" outlineLevel="2">
      <c r="C321" s="73" t="str">
        <v>SpareOfferD10</v>
      </c>
      <c r="D321" t="s">
        <v>301</v>
      </c>
      <c r="F321" s="180">
        <f t="shared" si="168"/>
        <v>0</v>
      </c>
      <c r="H321" s="231">
        <f t="shared" ref="H321:J321" si="185">H282*H$268</f>
        <v>0</v>
      </c>
      <c r="I321" s="231">
        <f t="shared" si="185"/>
        <v>0</v>
      </c>
      <c r="J321" s="231">
        <f t="shared" si="185"/>
        <v>0</v>
      </c>
      <c r="L321" s="231">
        <f t="shared" ref="L321:N321" si="186">L282*L$268</f>
        <v>0</v>
      </c>
      <c r="M321" s="231">
        <f t="shared" si="186"/>
        <v>0</v>
      </c>
      <c r="N321" s="231">
        <f t="shared" si="186"/>
        <v>0</v>
      </c>
    </row>
    <row r="322" spans="3:14" hidden="1" outlineLevel="2">
      <c r="C322" s="73" t="str">
        <v>SpareOfferD11</v>
      </c>
      <c r="D322" t="s">
        <v>301</v>
      </c>
      <c r="F322" s="180">
        <f t="shared" si="168"/>
        <v>0</v>
      </c>
      <c r="H322" s="231">
        <f t="shared" ref="H322:J322" si="187">H283*H$268</f>
        <v>0</v>
      </c>
      <c r="I322" s="231">
        <f t="shared" si="187"/>
        <v>0</v>
      </c>
      <c r="J322" s="231">
        <f t="shared" si="187"/>
        <v>0</v>
      </c>
      <c r="L322" s="231">
        <f t="shared" ref="L322:N322" si="188">L283*L$268</f>
        <v>0</v>
      </c>
      <c r="M322" s="231">
        <f t="shared" si="188"/>
        <v>0</v>
      </c>
      <c r="N322" s="231">
        <f t="shared" si="188"/>
        <v>0</v>
      </c>
    </row>
    <row r="323" spans="3:14" hidden="1" outlineLevel="2">
      <c r="C323" s="73" t="str">
        <v>SpareOfferD12</v>
      </c>
      <c r="D323" t="s">
        <v>301</v>
      </c>
      <c r="F323" s="180">
        <f t="shared" si="168"/>
        <v>0</v>
      </c>
      <c r="H323" s="231">
        <f t="shared" ref="H323:J323" si="189">H284*H$268</f>
        <v>0</v>
      </c>
      <c r="I323" s="231">
        <f t="shared" si="189"/>
        <v>0</v>
      </c>
      <c r="J323" s="231">
        <f t="shared" si="189"/>
        <v>0</v>
      </c>
      <c r="L323" s="231">
        <f t="shared" ref="L323:N323" si="190">L284*L$268</f>
        <v>0</v>
      </c>
      <c r="M323" s="231">
        <f t="shared" si="190"/>
        <v>0</v>
      </c>
      <c r="N323" s="231">
        <f t="shared" si="190"/>
        <v>0</v>
      </c>
    </row>
    <row r="324" spans="3:14" hidden="1" outlineLevel="2">
      <c r="C324" s="73" t="str">
        <v>SpareOfferD13</v>
      </c>
      <c r="D324" t="s">
        <v>301</v>
      </c>
      <c r="F324" s="180">
        <f t="shared" si="168"/>
        <v>0</v>
      </c>
      <c r="H324" s="231">
        <f t="shared" ref="H324:J324" si="191">H285*H$268</f>
        <v>0</v>
      </c>
      <c r="I324" s="231">
        <f t="shared" si="191"/>
        <v>0</v>
      </c>
      <c r="J324" s="231">
        <f t="shared" si="191"/>
        <v>0</v>
      </c>
      <c r="L324" s="231">
        <f t="shared" ref="L324:N324" si="192">L285*L$268</f>
        <v>0</v>
      </c>
      <c r="M324" s="231">
        <f t="shared" si="192"/>
        <v>0</v>
      </c>
      <c r="N324" s="231">
        <f t="shared" si="192"/>
        <v>0</v>
      </c>
    </row>
    <row r="325" spans="3:14" hidden="1" outlineLevel="2">
      <c r="C325" s="73" t="str">
        <v>SpareOfferD14</v>
      </c>
      <c r="D325" t="s">
        <v>301</v>
      </c>
      <c r="F325" s="180">
        <f t="shared" si="168"/>
        <v>0</v>
      </c>
      <c r="H325" s="231">
        <f t="shared" ref="H325:J325" si="193">H286*H$268</f>
        <v>0</v>
      </c>
      <c r="I325" s="231">
        <f t="shared" si="193"/>
        <v>0</v>
      </c>
      <c r="J325" s="231">
        <f t="shared" si="193"/>
        <v>0</v>
      </c>
      <c r="L325" s="231">
        <f t="shared" ref="L325:N325" si="194">L286*L$268</f>
        <v>0</v>
      </c>
      <c r="M325" s="231">
        <f t="shared" si="194"/>
        <v>0</v>
      </c>
      <c r="N325" s="231">
        <f t="shared" si="194"/>
        <v>0</v>
      </c>
    </row>
    <row r="326" spans="3:14" hidden="1" outlineLevel="2">
      <c r="C326" s="73" t="str">
        <v>SpareOfferD15</v>
      </c>
      <c r="D326" t="s">
        <v>301</v>
      </c>
      <c r="F326" s="180">
        <f t="shared" si="168"/>
        <v>0</v>
      </c>
      <c r="H326" s="231">
        <f t="shared" ref="H326:J326" si="195">H287*H$268</f>
        <v>0</v>
      </c>
      <c r="I326" s="231">
        <f t="shared" si="195"/>
        <v>0</v>
      </c>
      <c r="J326" s="231">
        <f t="shared" si="195"/>
        <v>0</v>
      </c>
      <c r="L326" s="231">
        <f t="shared" ref="L326:N326" si="196">L287*L$268</f>
        <v>0</v>
      </c>
      <c r="M326" s="231">
        <f t="shared" si="196"/>
        <v>0</v>
      </c>
      <c r="N326" s="231">
        <f t="shared" si="196"/>
        <v>0</v>
      </c>
    </row>
    <row r="327" spans="3:14" hidden="1" outlineLevel="2">
      <c r="C327" s="73" t="str">
        <v>SpareOfferD16</v>
      </c>
      <c r="D327" t="s">
        <v>301</v>
      </c>
      <c r="F327" s="180">
        <f t="shared" si="168"/>
        <v>0</v>
      </c>
      <c r="H327" s="231">
        <f t="shared" ref="H327:J327" si="197">H288*H$268</f>
        <v>0</v>
      </c>
      <c r="I327" s="231">
        <f t="shared" si="197"/>
        <v>0</v>
      </c>
      <c r="J327" s="231">
        <f t="shared" si="197"/>
        <v>0</v>
      </c>
      <c r="L327" s="231">
        <f t="shared" ref="L327:N327" si="198">L288*L$268</f>
        <v>0</v>
      </c>
      <c r="M327" s="231">
        <f t="shared" si="198"/>
        <v>0</v>
      </c>
      <c r="N327" s="231">
        <f t="shared" si="198"/>
        <v>0</v>
      </c>
    </row>
    <row r="328" spans="3:14" hidden="1" outlineLevel="2">
      <c r="C328" s="73" t="str">
        <v>SpareOfferD17</v>
      </c>
      <c r="D328" t="s">
        <v>301</v>
      </c>
      <c r="F328" s="180">
        <f t="shared" si="168"/>
        <v>0</v>
      </c>
      <c r="H328" s="231">
        <f t="shared" ref="H328:J328" si="199">H289*H$268</f>
        <v>0</v>
      </c>
      <c r="I328" s="231">
        <f t="shared" si="199"/>
        <v>0</v>
      </c>
      <c r="J328" s="231">
        <f t="shared" si="199"/>
        <v>0</v>
      </c>
      <c r="L328" s="231">
        <f t="shared" ref="L328:N328" si="200">L289*L$268</f>
        <v>0</v>
      </c>
      <c r="M328" s="231">
        <f t="shared" si="200"/>
        <v>0</v>
      </c>
      <c r="N328" s="231">
        <f t="shared" si="200"/>
        <v>0</v>
      </c>
    </row>
    <row r="329" spans="3:14" hidden="1" outlineLevel="2">
      <c r="C329" s="73" t="str">
        <v>SpareOfferD18</v>
      </c>
      <c r="D329" t="s">
        <v>301</v>
      </c>
      <c r="F329" s="180">
        <f t="shared" si="168"/>
        <v>0</v>
      </c>
      <c r="H329" s="231">
        <f t="shared" ref="H329:J329" si="201">H290*H$268</f>
        <v>0</v>
      </c>
      <c r="I329" s="231">
        <f t="shared" si="201"/>
        <v>0</v>
      </c>
      <c r="J329" s="231">
        <f t="shared" si="201"/>
        <v>0</v>
      </c>
      <c r="L329" s="231">
        <f t="shared" ref="L329:N329" si="202">L290*L$268</f>
        <v>0</v>
      </c>
      <c r="M329" s="231">
        <f t="shared" si="202"/>
        <v>0</v>
      </c>
      <c r="N329" s="231">
        <f t="shared" si="202"/>
        <v>0</v>
      </c>
    </row>
    <row r="330" spans="3:14" hidden="1" outlineLevel="2">
      <c r="C330" s="73" t="str">
        <v>SpareOfferD19</v>
      </c>
      <c r="D330" t="s">
        <v>301</v>
      </c>
      <c r="F330" s="180">
        <f t="shared" si="168"/>
        <v>0</v>
      </c>
      <c r="H330" s="231">
        <f t="shared" ref="H330:J330" si="203">H291*H$268</f>
        <v>0</v>
      </c>
      <c r="I330" s="231">
        <f t="shared" si="203"/>
        <v>0</v>
      </c>
      <c r="J330" s="231">
        <f t="shared" si="203"/>
        <v>0</v>
      </c>
      <c r="L330" s="231">
        <f t="shared" ref="L330:N330" si="204">L291*L$268</f>
        <v>0</v>
      </c>
      <c r="M330" s="231">
        <f t="shared" si="204"/>
        <v>0</v>
      </c>
      <c r="N330" s="231">
        <f t="shared" si="204"/>
        <v>0</v>
      </c>
    </row>
    <row r="331" spans="3:14" hidden="1" outlineLevel="2">
      <c r="C331" s="73" t="str">
        <v>SpareOfferD20</v>
      </c>
      <c r="D331" t="s">
        <v>301</v>
      </c>
      <c r="F331" s="180">
        <f t="shared" si="168"/>
        <v>0</v>
      </c>
      <c r="H331" s="231">
        <f t="shared" ref="H331:J331" si="205">H292*H$268</f>
        <v>0</v>
      </c>
      <c r="I331" s="231">
        <f t="shared" si="205"/>
        <v>0</v>
      </c>
      <c r="J331" s="231">
        <f t="shared" si="205"/>
        <v>0</v>
      </c>
      <c r="L331" s="231">
        <f t="shared" ref="L331:N331" si="206">L292*L$268</f>
        <v>0</v>
      </c>
      <c r="M331" s="231">
        <f t="shared" si="206"/>
        <v>0</v>
      </c>
      <c r="N331" s="231">
        <f t="shared" si="206"/>
        <v>0</v>
      </c>
    </row>
    <row r="332" spans="3:14" hidden="1" outlineLevel="2">
      <c r="C332" s="73" t="str">
        <v>SpareOfferD21</v>
      </c>
      <c r="D332" t="s">
        <v>301</v>
      </c>
      <c r="F332" s="180">
        <f t="shared" si="168"/>
        <v>0</v>
      </c>
      <c r="H332" s="231">
        <f t="shared" ref="H332:J332" si="207">H293*H$268</f>
        <v>0</v>
      </c>
      <c r="I332" s="231">
        <f t="shared" si="207"/>
        <v>0</v>
      </c>
      <c r="J332" s="231">
        <f t="shared" si="207"/>
        <v>0</v>
      </c>
      <c r="L332" s="231">
        <f t="shared" ref="L332:N332" si="208">L293*L$268</f>
        <v>0</v>
      </c>
      <c r="M332" s="231">
        <f t="shared" si="208"/>
        <v>0</v>
      </c>
      <c r="N332" s="231">
        <f t="shared" si="208"/>
        <v>0</v>
      </c>
    </row>
    <row r="333" spans="3:14" hidden="1" outlineLevel="2">
      <c r="C333" s="73" t="str">
        <v>SpareOfferD22</v>
      </c>
      <c r="D333" t="s">
        <v>301</v>
      </c>
      <c r="F333" s="180">
        <f t="shared" si="168"/>
        <v>0</v>
      </c>
      <c r="H333" s="231">
        <f t="shared" ref="H333:J333" si="209">H294*H$268</f>
        <v>0</v>
      </c>
      <c r="I333" s="231">
        <f t="shared" si="209"/>
        <v>0</v>
      </c>
      <c r="J333" s="231">
        <f t="shared" si="209"/>
        <v>0</v>
      </c>
      <c r="L333" s="231">
        <f t="shared" ref="L333:N333" si="210">L294*L$268</f>
        <v>0</v>
      </c>
      <c r="M333" s="231">
        <f t="shared" si="210"/>
        <v>0</v>
      </c>
      <c r="N333" s="231">
        <f t="shared" si="210"/>
        <v>0</v>
      </c>
    </row>
    <row r="334" spans="3:14" hidden="1" outlineLevel="2">
      <c r="C334" s="73" t="str">
        <v>SpareOfferD23</v>
      </c>
      <c r="D334" t="s">
        <v>301</v>
      </c>
      <c r="F334" s="180">
        <f t="shared" si="168"/>
        <v>0</v>
      </c>
      <c r="H334" s="231">
        <f t="shared" ref="H334:J334" si="211">H295*H$268</f>
        <v>0</v>
      </c>
      <c r="I334" s="231">
        <f t="shared" si="211"/>
        <v>0</v>
      </c>
      <c r="J334" s="231">
        <f t="shared" si="211"/>
        <v>0</v>
      </c>
      <c r="L334" s="231">
        <f t="shared" ref="L334:N334" si="212">L295*L$268</f>
        <v>0</v>
      </c>
      <c r="M334" s="231">
        <f t="shared" si="212"/>
        <v>0</v>
      </c>
      <c r="N334" s="231">
        <f t="shared" si="212"/>
        <v>0</v>
      </c>
    </row>
    <row r="335" spans="3:14" hidden="1" outlineLevel="2">
      <c r="C335" s="73" t="str">
        <v>SpareOfferD24</v>
      </c>
      <c r="D335" t="s">
        <v>301</v>
      </c>
      <c r="F335" s="180">
        <f t="shared" si="168"/>
        <v>0</v>
      </c>
      <c r="H335" s="231">
        <f t="shared" ref="H335:J335" si="213">H296*H$268</f>
        <v>0</v>
      </c>
      <c r="I335" s="231">
        <f t="shared" si="213"/>
        <v>0</v>
      </c>
      <c r="J335" s="231">
        <f t="shared" si="213"/>
        <v>0</v>
      </c>
      <c r="L335" s="231">
        <f t="shared" ref="L335:N335" si="214">L296*L$268</f>
        <v>0</v>
      </c>
      <c r="M335" s="231">
        <f t="shared" si="214"/>
        <v>0</v>
      </c>
      <c r="N335" s="231">
        <f t="shared" si="214"/>
        <v>0</v>
      </c>
    </row>
    <row r="336" spans="3:14" hidden="1" outlineLevel="2">
      <c r="C336" s="73" t="str">
        <v>SpareOfferD25</v>
      </c>
      <c r="D336" t="s">
        <v>301</v>
      </c>
      <c r="F336" s="180">
        <f t="shared" si="168"/>
        <v>0</v>
      </c>
      <c r="H336" s="231">
        <f t="shared" ref="H336:J336" si="215">H297*H$268</f>
        <v>0</v>
      </c>
      <c r="I336" s="231">
        <f t="shared" si="215"/>
        <v>0</v>
      </c>
      <c r="J336" s="231">
        <f t="shared" si="215"/>
        <v>0</v>
      </c>
      <c r="L336" s="231">
        <f t="shared" ref="L336:N336" si="216">L297*L$268</f>
        <v>0</v>
      </c>
      <c r="M336" s="231">
        <f t="shared" si="216"/>
        <v>0</v>
      </c>
      <c r="N336" s="231">
        <f t="shared" si="216"/>
        <v>0</v>
      </c>
    </row>
    <row r="337" spans="1:16" hidden="1" outlineLevel="2">
      <c r="C337" s="73" t="str">
        <v>SpareOfferD26</v>
      </c>
      <c r="D337" t="s">
        <v>301</v>
      </c>
      <c r="F337" s="180">
        <f t="shared" si="168"/>
        <v>0</v>
      </c>
      <c r="H337" s="231">
        <f t="shared" ref="H337:J337" si="217">H298*H$268</f>
        <v>0</v>
      </c>
      <c r="I337" s="231">
        <f t="shared" si="217"/>
        <v>0</v>
      </c>
      <c r="J337" s="231">
        <f t="shared" si="217"/>
        <v>0</v>
      </c>
      <c r="L337" s="231">
        <f t="shared" ref="L337:N337" si="218">L298*L$268</f>
        <v>0</v>
      </c>
      <c r="M337" s="231">
        <f t="shared" si="218"/>
        <v>0</v>
      </c>
      <c r="N337" s="231">
        <f t="shared" si="218"/>
        <v>0</v>
      </c>
    </row>
    <row r="338" spans="1:16" hidden="1" outlineLevel="2">
      <c r="C338" s="73" t="str">
        <v>SpareOfferD27</v>
      </c>
      <c r="D338" t="s">
        <v>301</v>
      </c>
      <c r="F338" s="180">
        <f t="shared" si="168"/>
        <v>0</v>
      </c>
      <c r="H338" s="231">
        <f t="shared" ref="H338:J338" si="219">H299*H$268</f>
        <v>0</v>
      </c>
      <c r="I338" s="231">
        <f t="shared" si="219"/>
        <v>0</v>
      </c>
      <c r="J338" s="231">
        <f t="shared" si="219"/>
        <v>0</v>
      </c>
      <c r="L338" s="231">
        <f t="shared" ref="L338:N338" si="220">L299*L$268</f>
        <v>0</v>
      </c>
      <c r="M338" s="231">
        <f t="shared" si="220"/>
        <v>0</v>
      </c>
      <c r="N338" s="231">
        <f t="shared" si="220"/>
        <v>0</v>
      </c>
    </row>
    <row r="339" spans="1:16" hidden="1" outlineLevel="2">
      <c r="C339" s="73" t="str">
        <v>SpareOfferD28</v>
      </c>
      <c r="D339" t="s">
        <v>301</v>
      </c>
      <c r="F339" s="180">
        <f t="shared" si="168"/>
        <v>0</v>
      </c>
      <c r="H339" s="231">
        <f t="shared" ref="H339:J339" si="221">H300*H$268</f>
        <v>0</v>
      </c>
      <c r="I339" s="231">
        <f t="shared" si="221"/>
        <v>0</v>
      </c>
      <c r="J339" s="231">
        <f t="shared" si="221"/>
        <v>0</v>
      </c>
      <c r="L339" s="231">
        <f t="shared" ref="L339:N339" si="222">L300*L$268</f>
        <v>0</v>
      </c>
      <c r="M339" s="231">
        <f t="shared" si="222"/>
        <v>0</v>
      </c>
      <c r="N339" s="231">
        <f t="shared" si="222"/>
        <v>0</v>
      </c>
    </row>
    <row r="340" spans="1:16" hidden="1" outlineLevel="2">
      <c r="C340" s="73" t="str">
        <v>SpareOfferD29</v>
      </c>
      <c r="D340" t="s">
        <v>301</v>
      </c>
      <c r="F340" s="180">
        <f t="shared" si="168"/>
        <v>0</v>
      </c>
      <c r="H340" s="231">
        <f t="shared" ref="H340:J340" si="223">H301*H$268</f>
        <v>0</v>
      </c>
      <c r="I340" s="231">
        <f t="shared" si="223"/>
        <v>0</v>
      </c>
      <c r="J340" s="231">
        <f t="shared" si="223"/>
        <v>0</v>
      </c>
      <c r="L340" s="231">
        <f t="shared" ref="L340:N340" si="224">L301*L$268</f>
        <v>0</v>
      </c>
      <c r="M340" s="231">
        <f t="shared" si="224"/>
        <v>0</v>
      </c>
      <c r="N340" s="231">
        <f t="shared" si="224"/>
        <v>0</v>
      </c>
    </row>
    <row r="341" spans="1:16" hidden="1" outlineLevel="2">
      <c r="C341" s="73" t="str">
        <v>SpareOfferD30</v>
      </c>
      <c r="D341" t="s">
        <v>301</v>
      </c>
      <c r="F341" s="180">
        <f t="shared" si="168"/>
        <v>0</v>
      </c>
      <c r="H341" s="231">
        <f t="shared" ref="H341:J341" si="225">H302*H$268</f>
        <v>0</v>
      </c>
      <c r="I341" s="231">
        <f t="shared" si="225"/>
        <v>0</v>
      </c>
      <c r="J341" s="231">
        <f t="shared" si="225"/>
        <v>0</v>
      </c>
      <c r="L341" s="231">
        <f t="shared" ref="L341:N341" si="226">L302*L$268</f>
        <v>0</v>
      </c>
      <c r="M341" s="231">
        <f t="shared" si="226"/>
        <v>0</v>
      </c>
      <c r="N341" s="231">
        <f t="shared" si="226"/>
        <v>0</v>
      </c>
    </row>
    <row r="342" spans="1:16" hidden="1" outlineLevel="2">
      <c r="C342" s="73" t="str">
        <v>SpareOfferD31</v>
      </c>
      <c r="D342" t="s">
        <v>301</v>
      </c>
      <c r="F342" s="180">
        <f t="shared" si="168"/>
        <v>0</v>
      </c>
      <c r="H342" s="231">
        <f t="shared" ref="H342:J342" si="227">H303*H$268</f>
        <v>0</v>
      </c>
      <c r="I342" s="231">
        <f t="shared" si="227"/>
        <v>0</v>
      </c>
      <c r="J342" s="231">
        <f t="shared" si="227"/>
        <v>0</v>
      </c>
      <c r="L342" s="231">
        <f t="shared" ref="L342:N342" si="228">L303*L$268</f>
        <v>0</v>
      </c>
      <c r="M342" s="231">
        <f t="shared" si="228"/>
        <v>0</v>
      </c>
      <c r="N342" s="231">
        <f t="shared" si="228"/>
        <v>0</v>
      </c>
    </row>
    <row r="343" spans="1:16" hidden="1" outlineLevel="2">
      <c r="C343" s="73" t="str">
        <v>SpareOfferD32</v>
      </c>
      <c r="D343" t="s">
        <v>301</v>
      </c>
      <c r="F343" s="180">
        <f t="shared" si="168"/>
        <v>0</v>
      </c>
      <c r="H343" s="231">
        <f t="shared" ref="H343:J343" si="229">H304*H$268</f>
        <v>0</v>
      </c>
      <c r="I343" s="231">
        <f t="shared" si="229"/>
        <v>0</v>
      </c>
      <c r="J343" s="231">
        <f t="shared" si="229"/>
        <v>0</v>
      </c>
      <c r="L343" s="231">
        <f t="shared" ref="L343:N343" si="230">L304*L$268</f>
        <v>0</v>
      </c>
      <c r="M343" s="231">
        <f t="shared" si="230"/>
        <v>0</v>
      </c>
      <c r="N343" s="231">
        <f t="shared" si="230"/>
        <v>0</v>
      </c>
    </row>
    <row r="344" spans="1:16" hidden="1" outlineLevel="2">
      <c r="C344" s="73" t="str">
        <v>SpareOfferD33</v>
      </c>
      <c r="D344" t="s">
        <v>301</v>
      </c>
      <c r="F344" s="180">
        <f t="shared" si="168"/>
        <v>0</v>
      </c>
      <c r="H344" s="231">
        <f t="shared" ref="H344:J344" si="231">H305*H$268</f>
        <v>0</v>
      </c>
      <c r="I344" s="231">
        <f t="shared" si="231"/>
        <v>0</v>
      </c>
      <c r="J344" s="231">
        <f t="shared" si="231"/>
        <v>0</v>
      </c>
      <c r="L344" s="231">
        <f t="shared" ref="L344:N344" si="232">L305*L$268</f>
        <v>0</v>
      </c>
      <c r="M344" s="231">
        <f t="shared" si="232"/>
        <v>0</v>
      </c>
      <c r="N344" s="231">
        <f t="shared" si="232"/>
        <v>0</v>
      </c>
    </row>
    <row r="345" spans="1:16" hidden="1" outlineLevel="2">
      <c r="C345" s="73" t="str">
        <v>SpareOfferD34</v>
      </c>
      <c r="D345" t="s">
        <v>301</v>
      </c>
      <c r="F345" s="180">
        <f t="shared" si="168"/>
        <v>0</v>
      </c>
      <c r="H345" s="231">
        <f t="shared" ref="H345:J345" si="233">H306*H$268</f>
        <v>0</v>
      </c>
      <c r="I345" s="231">
        <f t="shared" si="233"/>
        <v>0</v>
      </c>
      <c r="J345" s="231">
        <f t="shared" si="233"/>
        <v>0</v>
      </c>
      <c r="L345" s="231">
        <f t="shared" ref="L345:N345" si="234">L306*L$268</f>
        <v>0</v>
      </c>
      <c r="M345" s="231">
        <f t="shared" si="234"/>
        <v>0</v>
      </c>
      <c r="N345" s="231">
        <f t="shared" si="234"/>
        <v>0</v>
      </c>
    </row>
    <row r="346" spans="1:16" outlineLevel="1" collapsed="1">
      <c r="C346" s="73" t="str">
        <v>-</v>
      </c>
      <c r="D346" t="s">
        <v>301</v>
      </c>
      <c r="F346" s="180">
        <f t="shared" si="168"/>
        <v>0</v>
      </c>
      <c r="H346" s="231">
        <f t="shared" ref="H346:J346" si="235">H307*H$268</f>
        <v>0</v>
      </c>
      <c r="I346" s="231">
        <f t="shared" si="235"/>
        <v>0</v>
      </c>
      <c r="J346" s="231">
        <f t="shared" si="235"/>
        <v>0</v>
      </c>
      <c r="L346" s="231">
        <f t="shared" ref="L346:N346" si="236">L307*L$268</f>
        <v>0</v>
      </c>
      <c r="M346" s="231">
        <f t="shared" si="236"/>
        <v>0</v>
      </c>
      <c r="N346" s="231">
        <f t="shared" si="236"/>
        <v>0</v>
      </c>
    </row>
    <row r="347" spans="1:16" ht="12" outlineLevel="1">
      <c r="F347" s="43"/>
    </row>
    <row r="348" spans="1:16" ht="15.5">
      <c r="A348" s="36" t="s">
        <v>340</v>
      </c>
    </row>
    <row r="350" spans="1:16" s="220" customFormat="1">
      <c r="A350" s="220">
        <v>1</v>
      </c>
      <c r="B350" s="221" t="str">
        <f>INDEX(segments,A350)</f>
        <v>Residential</v>
      </c>
      <c r="C350" s="207"/>
    </row>
    <row r="351" spans="1:16" outlineLevel="1"/>
    <row r="352" spans="1:16" ht="34.5" outlineLevel="1">
      <c r="B352" s="91" t="s">
        <v>341</v>
      </c>
      <c r="H352" s="1" t="str">
        <f t="array" ref="H352:P352">options.selected.roaming.detailed</f>
        <v>Roaming voice (EEA)</v>
      </c>
      <c r="I352" s="1" t="str">
        <v>Roaming voice (non-EEA)</v>
      </c>
      <c r="J352" s="1" t="str">
        <v>Roaming CF (EEA)</v>
      </c>
      <c r="K352" s="1" t="str">
        <v>Roaming CF (non-EEA)</v>
      </c>
      <c r="L352" s="1" t="str">
        <v>Roaming messages (EEA)</v>
      </c>
      <c r="M352" s="1" t="str">
        <v>Roaming messages (non-EEA)</v>
      </c>
      <c r="N352" s="1" t="str">
        <v>Roaming data (EEA)</v>
      </c>
      <c r="O352" s="1" t="str">
        <v>Roaming data (non-EEA)</v>
      </c>
      <c r="P352" s="1" t="str">
        <v>Spare 1</v>
      </c>
    </row>
    <row r="353" spans="2:16" outlineLevel="1">
      <c r="C353" t="s">
        <v>341</v>
      </c>
      <c r="D353" t="s">
        <v>338</v>
      </c>
      <c r="H353" s="239">
        <f t="array" ref="H353:P353">Roaming.IC</f>
        <v>0</v>
      </c>
      <c r="I353" s="239">
        <v>0</v>
      </c>
      <c r="J353" s="239">
        <v>0</v>
      </c>
      <c r="K353" s="239">
        <v>0</v>
      </c>
      <c r="L353" s="239">
        <v>0</v>
      </c>
      <c r="M353" s="239">
        <v>0</v>
      </c>
      <c r="N353" s="239">
        <v>0</v>
      </c>
      <c r="O353" s="239">
        <v>0</v>
      </c>
      <c r="P353" s="239">
        <v>0</v>
      </c>
    </row>
    <row r="354" spans="2:16" outlineLevel="1"/>
    <row r="355" spans="2:16" outlineLevel="1">
      <c r="H355">
        <f t="shared" ref="H355:P355" si="237">MATCH(H356,demand.descriptions.short,0)</f>
        <v>10</v>
      </c>
      <c r="I355">
        <f t="shared" si="237"/>
        <v>11</v>
      </c>
      <c r="J355">
        <f t="shared" si="237"/>
        <v>12</v>
      </c>
      <c r="K355">
        <f t="shared" si="237"/>
        <v>13</v>
      </c>
      <c r="L355">
        <f t="shared" si="237"/>
        <v>15</v>
      </c>
      <c r="M355">
        <f t="shared" si="237"/>
        <v>16</v>
      </c>
      <c r="N355">
        <f t="shared" si="237"/>
        <v>18</v>
      </c>
      <c r="O355">
        <f t="shared" si="237"/>
        <v>19</v>
      </c>
      <c r="P355">
        <f t="shared" si="237"/>
        <v>23</v>
      </c>
    </row>
    <row r="356" spans="2:16" ht="34.5" outlineLevel="1">
      <c r="B356" s="91" t="s">
        <v>194</v>
      </c>
      <c r="F356" s="119" t="s">
        <v>223</v>
      </c>
      <c r="H356" s="1" t="str">
        <f t="array" ref="H356:P356">options.selected.roaming.detailed</f>
        <v>Roaming voice (EEA)</v>
      </c>
      <c r="I356" s="1" t="str">
        <v>Roaming voice (non-EEA)</v>
      </c>
      <c r="J356" s="1" t="str">
        <v>Roaming CF (EEA)</v>
      </c>
      <c r="K356" s="1" t="str">
        <v>Roaming CF (non-EEA)</v>
      </c>
      <c r="L356" s="1" t="str">
        <v>Roaming messages (EEA)</v>
      </c>
      <c r="M356" s="1" t="str">
        <v>Roaming messages (non-EEA)</v>
      </c>
      <c r="N356" s="1" t="str">
        <v>Roaming data (EEA)</v>
      </c>
      <c r="O356" s="1" t="str">
        <v>Roaming data (non-EEA)</v>
      </c>
      <c r="P356" s="1" t="str">
        <v>Spare 1</v>
      </c>
    </row>
    <row r="357" spans="2:16" outlineLevel="1">
      <c r="C357" s="91" t="s">
        <v>222</v>
      </c>
      <c r="D357" t="s">
        <v>174</v>
      </c>
      <c r="H357" s="222">
        <f>SUMPRODUCT(H358:H392,$F358:$F392)</f>
        <v>0</v>
      </c>
      <c r="I357" s="222">
        <f t="shared" ref="I357:P357" si="238">SUMPRODUCT(I358:I392,$F358:$F392)</f>
        <v>0</v>
      </c>
      <c r="J357" s="222">
        <f t="shared" si="238"/>
        <v>0</v>
      </c>
      <c r="K357" s="222">
        <f t="shared" si="238"/>
        <v>0</v>
      </c>
      <c r="L357" s="222">
        <f t="shared" si="238"/>
        <v>0</v>
      </c>
      <c r="M357" s="222">
        <f t="shared" si="238"/>
        <v>0</v>
      </c>
      <c r="N357" s="222">
        <f t="shared" si="238"/>
        <v>0</v>
      </c>
      <c r="O357" s="222">
        <f t="shared" si="238"/>
        <v>0</v>
      </c>
      <c r="P357" s="222">
        <f t="shared" si="238"/>
        <v>0</v>
      </c>
    </row>
    <row r="358" spans="2:16" outlineLevel="1">
      <c r="B358">
        <f t="shared" ref="B358:B392" si="239">MATCH(C358,offers.segment.all,0)</f>
        <v>1</v>
      </c>
      <c r="C358" s="73" t="str">
        <f t="array" ref="C358:C392">offers.segment.1</f>
        <v>SpareOfferA1</v>
      </c>
      <c r="D358" t="s">
        <v>174</v>
      </c>
      <c r="F358" s="87">
        <f t="array" ref="F358:F392">subscription.split.segment.1</f>
        <v>0</v>
      </c>
      <c r="H358" s="230">
        <f t="shared" ref="H358:P367" si="240">INDEX(per.sub.volumes.by.demand.descriptions,$B358,H$355)</f>
        <v>0</v>
      </c>
      <c r="I358" s="230">
        <f t="shared" si="240"/>
        <v>0</v>
      </c>
      <c r="J358" s="230">
        <f t="shared" si="240"/>
        <v>0</v>
      </c>
      <c r="K358" s="230">
        <f t="shared" si="240"/>
        <v>0</v>
      </c>
      <c r="L358" s="230">
        <f t="shared" si="240"/>
        <v>0</v>
      </c>
      <c r="M358" s="230">
        <f t="shared" si="240"/>
        <v>0</v>
      </c>
      <c r="N358" s="230">
        <f t="shared" si="240"/>
        <v>0</v>
      </c>
      <c r="O358" s="230">
        <f t="shared" si="240"/>
        <v>0</v>
      </c>
      <c r="P358" s="230">
        <f t="shared" si="240"/>
        <v>0</v>
      </c>
    </row>
    <row r="359" spans="2:16" hidden="1" outlineLevel="2">
      <c r="B359">
        <f t="shared" si="239"/>
        <v>2</v>
      </c>
      <c r="C359" s="73" t="str">
        <v>SpareOfferA2</v>
      </c>
      <c r="D359" t="s">
        <v>174</v>
      </c>
      <c r="F359" s="87">
        <v>0</v>
      </c>
      <c r="H359" s="230">
        <f t="shared" si="240"/>
        <v>0</v>
      </c>
      <c r="I359" s="230">
        <f t="shared" si="240"/>
        <v>0</v>
      </c>
      <c r="J359" s="230">
        <f t="shared" si="240"/>
        <v>0</v>
      </c>
      <c r="K359" s="230">
        <f t="shared" si="240"/>
        <v>0</v>
      </c>
      <c r="L359" s="230">
        <f t="shared" si="240"/>
        <v>0</v>
      </c>
      <c r="M359" s="230">
        <f t="shared" si="240"/>
        <v>0</v>
      </c>
      <c r="N359" s="230">
        <f t="shared" si="240"/>
        <v>0</v>
      </c>
      <c r="O359" s="230">
        <f t="shared" si="240"/>
        <v>0</v>
      </c>
      <c r="P359" s="230">
        <f t="shared" si="240"/>
        <v>0</v>
      </c>
    </row>
    <row r="360" spans="2:16" hidden="1" outlineLevel="2">
      <c r="B360">
        <f t="shared" si="239"/>
        <v>3</v>
      </c>
      <c r="C360" s="73" t="str">
        <v>SpareOfferA3</v>
      </c>
      <c r="D360" t="s">
        <v>174</v>
      </c>
      <c r="F360" s="87">
        <v>0</v>
      </c>
      <c r="H360" s="230">
        <f t="shared" si="240"/>
        <v>0</v>
      </c>
      <c r="I360" s="230">
        <f t="shared" si="240"/>
        <v>0</v>
      </c>
      <c r="J360" s="230">
        <f t="shared" si="240"/>
        <v>0</v>
      </c>
      <c r="K360" s="230">
        <f t="shared" si="240"/>
        <v>0</v>
      </c>
      <c r="L360" s="230">
        <f t="shared" si="240"/>
        <v>0</v>
      </c>
      <c r="M360" s="230">
        <f t="shared" si="240"/>
        <v>0</v>
      </c>
      <c r="N360" s="230">
        <f t="shared" si="240"/>
        <v>0</v>
      </c>
      <c r="O360" s="230">
        <f t="shared" si="240"/>
        <v>0</v>
      </c>
      <c r="P360" s="230">
        <f t="shared" si="240"/>
        <v>0</v>
      </c>
    </row>
    <row r="361" spans="2:16" hidden="1" outlineLevel="2">
      <c r="B361">
        <f t="shared" si="239"/>
        <v>4</v>
      </c>
      <c r="C361" s="73" t="str">
        <v>SpareOfferA4</v>
      </c>
      <c r="D361" t="s">
        <v>174</v>
      </c>
      <c r="F361" s="87">
        <v>0</v>
      </c>
      <c r="H361" s="230">
        <f t="shared" si="240"/>
        <v>0</v>
      </c>
      <c r="I361" s="230">
        <f t="shared" si="240"/>
        <v>0</v>
      </c>
      <c r="J361" s="230">
        <f t="shared" si="240"/>
        <v>0</v>
      </c>
      <c r="K361" s="230">
        <f t="shared" si="240"/>
        <v>0</v>
      </c>
      <c r="L361" s="230">
        <f t="shared" si="240"/>
        <v>0</v>
      </c>
      <c r="M361" s="230">
        <f t="shared" si="240"/>
        <v>0</v>
      </c>
      <c r="N361" s="230">
        <f t="shared" si="240"/>
        <v>0</v>
      </c>
      <c r="O361" s="230">
        <f t="shared" si="240"/>
        <v>0</v>
      </c>
      <c r="P361" s="230">
        <f t="shared" si="240"/>
        <v>0</v>
      </c>
    </row>
    <row r="362" spans="2:16" hidden="1" outlineLevel="2">
      <c r="B362">
        <f t="shared" si="239"/>
        <v>5</v>
      </c>
      <c r="C362" s="73" t="str">
        <v>SpareOfferA5</v>
      </c>
      <c r="D362" t="s">
        <v>174</v>
      </c>
      <c r="F362" s="87">
        <v>0</v>
      </c>
      <c r="H362" s="230">
        <f t="shared" si="240"/>
        <v>0</v>
      </c>
      <c r="I362" s="230">
        <f t="shared" si="240"/>
        <v>0</v>
      </c>
      <c r="J362" s="230">
        <f t="shared" si="240"/>
        <v>0</v>
      </c>
      <c r="K362" s="230">
        <f t="shared" si="240"/>
        <v>0</v>
      </c>
      <c r="L362" s="230">
        <f t="shared" si="240"/>
        <v>0</v>
      </c>
      <c r="M362" s="230">
        <f t="shared" si="240"/>
        <v>0</v>
      </c>
      <c r="N362" s="230">
        <f t="shared" si="240"/>
        <v>0</v>
      </c>
      <c r="O362" s="230">
        <f t="shared" si="240"/>
        <v>0</v>
      </c>
      <c r="P362" s="230">
        <f t="shared" si="240"/>
        <v>0</v>
      </c>
    </row>
    <row r="363" spans="2:16" hidden="1" outlineLevel="2">
      <c r="B363">
        <f t="shared" si="239"/>
        <v>6</v>
      </c>
      <c r="C363" s="73" t="str">
        <v>SpareOfferA6</v>
      </c>
      <c r="D363" t="s">
        <v>174</v>
      </c>
      <c r="F363" s="87">
        <v>0</v>
      </c>
      <c r="H363" s="230">
        <f t="shared" si="240"/>
        <v>0</v>
      </c>
      <c r="I363" s="230">
        <f t="shared" si="240"/>
        <v>0</v>
      </c>
      <c r="J363" s="230">
        <f t="shared" si="240"/>
        <v>0</v>
      </c>
      <c r="K363" s="230">
        <f t="shared" si="240"/>
        <v>0</v>
      </c>
      <c r="L363" s="230">
        <f t="shared" si="240"/>
        <v>0</v>
      </c>
      <c r="M363" s="230">
        <f t="shared" si="240"/>
        <v>0</v>
      </c>
      <c r="N363" s="230">
        <f t="shared" si="240"/>
        <v>0</v>
      </c>
      <c r="O363" s="230">
        <f t="shared" si="240"/>
        <v>0</v>
      </c>
      <c r="P363" s="230">
        <f t="shared" si="240"/>
        <v>0</v>
      </c>
    </row>
    <row r="364" spans="2:16" hidden="1" outlineLevel="2">
      <c r="B364">
        <f t="shared" si="239"/>
        <v>7</v>
      </c>
      <c r="C364" s="73" t="str">
        <v>SpareOfferA7</v>
      </c>
      <c r="D364" t="s">
        <v>174</v>
      </c>
      <c r="F364" s="87">
        <v>0</v>
      </c>
      <c r="H364" s="230">
        <f t="shared" si="240"/>
        <v>0</v>
      </c>
      <c r="I364" s="230">
        <f t="shared" si="240"/>
        <v>0</v>
      </c>
      <c r="J364" s="230">
        <f t="shared" si="240"/>
        <v>0</v>
      </c>
      <c r="K364" s="230">
        <f t="shared" si="240"/>
        <v>0</v>
      </c>
      <c r="L364" s="230">
        <f t="shared" si="240"/>
        <v>0</v>
      </c>
      <c r="M364" s="230">
        <f t="shared" si="240"/>
        <v>0</v>
      </c>
      <c r="N364" s="230">
        <f t="shared" si="240"/>
        <v>0</v>
      </c>
      <c r="O364" s="230">
        <f t="shared" si="240"/>
        <v>0</v>
      </c>
      <c r="P364" s="230">
        <f t="shared" si="240"/>
        <v>0</v>
      </c>
    </row>
    <row r="365" spans="2:16" hidden="1" outlineLevel="2">
      <c r="B365">
        <f t="shared" si="239"/>
        <v>8</v>
      </c>
      <c r="C365" s="73" t="str">
        <v>SpareOfferA8</v>
      </c>
      <c r="D365" t="s">
        <v>174</v>
      </c>
      <c r="F365" s="87">
        <v>0</v>
      </c>
      <c r="H365" s="230">
        <f t="shared" si="240"/>
        <v>0</v>
      </c>
      <c r="I365" s="230">
        <f t="shared" si="240"/>
        <v>0</v>
      </c>
      <c r="J365" s="230">
        <f t="shared" si="240"/>
        <v>0</v>
      </c>
      <c r="K365" s="230">
        <f t="shared" si="240"/>
        <v>0</v>
      </c>
      <c r="L365" s="230">
        <f t="shared" si="240"/>
        <v>0</v>
      </c>
      <c r="M365" s="230">
        <f t="shared" si="240"/>
        <v>0</v>
      </c>
      <c r="N365" s="230">
        <f t="shared" si="240"/>
        <v>0</v>
      </c>
      <c r="O365" s="230">
        <f t="shared" si="240"/>
        <v>0</v>
      </c>
      <c r="P365" s="230">
        <f t="shared" si="240"/>
        <v>0</v>
      </c>
    </row>
    <row r="366" spans="2:16" hidden="1" outlineLevel="2">
      <c r="B366">
        <f t="shared" si="239"/>
        <v>9</v>
      </c>
      <c r="C366" s="73" t="str">
        <v>SpareOfferA9</v>
      </c>
      <c r="D366" t="s">
        <v>174</v>
      </c>
      <c r="F366" s="87">
        <v>0</v>
      </c>
      <c r="H366" s="230">
        <f t="shared" si="240"/>
        <v>0</v>
      </c>
      <c r="I366" s="230">
        <f t="shared" si="240"/>
        <v>0</v>
      </c>
      <c r="J366" s="230">
        <f t="shared" si="240"/>
        <v>0</v>
      </c>
      <c r="K366" s="230">
        <f t="shared" si="240"/>
        <v>0</v>
      </c>
      <c r="L366" s="230">
        <f t="shared" si="240"/>
        <v>0</v>
      </c>
      <c r="M366" s="230">
        <f t="shared" si="240"/>
        <v>0</v>
      </c>
      <c r="N366" s="230">
        <f t="shared" si="240"/>
        <v>0</v>
      </c>
      <c r="O366" s="230">
        <f t="shared" si="240"/>
        <v>0</v>
      </c>
      <c r="P366" s="230">
        <f t="shared" si="240"/>
        <v>0</v>
      </c>
    </row>
    <row r="367" spans="2:16" hidden="1" outlineLevel="2">
      <c r="B367">
        <f t="shared" si="239"/>
        <v>10</v>
      </c>
      <c r="C367" s="73" t="str">
        <v>SpareOfferA10</v>
      </c>
      <c r="D367" t="s">
        <v>174</v>
      </c>
      <c r="F367" s="87">
        <v>0</v>
      </c>
      <c r="H367" s="230">
        <f t="shared" si="240"/>
        <v>0</v>
      </c>
      <c r="I367" s="230">
        <f t="shared" si="240"/>
        <v>0</v>
      </c>
      <c r="J367" s="230">
        <f t="shared" si="240"/>
        <v>0</v>
      </c>
      <c r="K367" s="230">
        <f t="shared" si="240"/>
        <v>0</v>
      </c>
      <c r="L367" s="230">
        <f t="shared" si="240"/>
        <v>0</v>
      </c>
      <c r="M367" s="230">
        <f t="shared" si="240"/>
        <v>0</v>
      </c>
      <c r="N367" s="230">
        <f t="shared" si="240"/>
        <v>0</v>
      </c>
      <c r="O367" s="230">
        <f t="shared" si="240"/>
        <v>0</v>
      </c>
      <c r="P367" s="230">
        <f t="shared" si="240"/>
        <v>0</v>
      </c>
    </row>
    <row r="368" spans="2:16" hidden="1" outlineLevel="2">
      <c r="B368">
        <f t="shared" si="239"/>
        <v>11</v>
      </c>
      <c r="C368" s="73" t="str">
        <v>SpareOfferA11</v>
      </c>
      <c r="D368" t="s">
        <v>174</v>
      </c>
      <c r="F368" s="87">
        <v>0</v>
      </c>
      <c r="H368" s="230">
        <f t="shared" ref="H368:P377" si="241">INDEX(per.sub.volumes.by.demand.descriptions,$B368,H$355)</f>
        <v>0</v>
      </c>
      <c r="I368" s="230">
        <f t="shared" si="241"/>
        <v>0</v>
      </c>
      <c r="J368" s="230">
        <f t="shared" si="241"/>
        <v>0</v>
      </c>
      <c r="K368" s="230">
        <f t="shared" si="241"/>
        <v>0</v>
      </c>
      <c r="L368" s="230">
        <f t="shared" si="241"/>
        <v>0</v>
      </c>
      <c r="M368" s="230">
        <f t="shared" si="241"/>
        <v>0</v>
      </c>
      <c r="N368" s="230">
        <f t="shared" si="241"/>
        <v>0</v>
      </c>
      <c r="O368" s="230">
        <f t="shared" si="241"/>
        <v>0</v>
      </c>
      <c r="P368" s="230">
        <f t="shared" si="241"/>
        <v>0</v>
      </c>
    </row>
    <row r="369" spans="2:16" hidden="1" outlineLevel="2">
      <c r="B369">
        <f t="shared" si="239"/>
        <v>12</v>
      </c>
      <c r="C369" s="73" t="str">
        <v>SpareOfferA12</v>
      </c>
      <c r="D369" t="s">
        <v>174</v>
      </c>
      <c r="F369" s="87">
        <v>0</v>
      </c>
      <c r="H369" s="230">
        <f t="shared" si="241"/>
        <v>0</v>
      </c>
      <c r="I369" s="230">
        <f t="shared" si="241"/>
        <v>0</v>
      </c>
      <c r="J369" s="230">
        <f t="shared" si="241"/>
        <v>0</v>
      </c>
      <c r="K369" s="230">
        <f t="shared" si="241"/>
        <v>0</v>
      </c>
      <c r="L369" s="230">
        <f t="shared" si="241"/>
        <v>0</v>
      </c>
      <c r="M369" s="230">
        <f t="shared" si="241"/>
        <v>0</v>
      </c>
      <c r="N369" s="230">
        <f t="shared" si="241"/>
        <v>0</v>
      </c>
      <c r="O369" s="230">
        <f t="shared" si="241"/>
        <v>0</v>
      </c>
      <c r="P369" s="230">
        <f t="shared" si="241"/>
        <v>0</v>
      </c>
    </row>
    <row r="370" spans="2:16" hidden="1" outlineLevel="2">
      <c r="B370">
        <f t="shared" si="239"/>
        <v>13</v>
      </c>
      <c r="C370" s="73" t="str">
        <v>SpareOfferA13</v>
      </c>
      <c r="D370" t="s">
        <v>174</v>
      </c>
      <c r="F370" s="87">
        <v>0</v>
      </c>
      <c r="H370" s="230">
        <f t="shared" si="241"/>
        <v>0</v>
      </c>
      <c r="I370" s="230">
        <f t="shared" si="241"/>
        <v>0</v>
      </c>
      <c r="J370" s="230">
        <f t="shared" si="241"/>
        <v>0</v>
      </c>
      <c r="K370" s="230">
        <f t="shared" si="241"/>
        <v>0</v>
      </c>
      <c r="L370" s="230">
        <f t="shared" si="241"/>
        <v>0</v>
      </c>
      <c r="M370" s="230">
        <f t="shared" si="241"/>
        <v>0</v>
      </c>
      <c r="N370" s="230">
        <f t="shared" si="241"/>
        <v>0</v>
      </c>
      <c r="O370" s="230">
        <f t="shared" si="241"/>
        <v>0</v>
      </c>
      <c r="P370" s="230">
        <f t="shared" si="241"/>
        <v>0</v>
      </c>
    </row>
    <row r="371" spans="2:16" hidden="1" outlineLevel="2">
      <c r="B371">
        <f t="shared" si="239"/>
        <v>14</v>
      </c>
      <c r="C371" s="73" t="str">
        <v>SpareOfferA14</v>
      </c>
      <c r="D371" t="s">
        <v>174</v>
      </c>
      <c r="F371" s="87">
        <v>0</v>
      </c>
      <c r="H371" s="230">
        <f t="shared" si="241"/>
        <v>0</v>
      </c>
      <c r="I371" s="230">
        <f t="shared" si="241"/>
        <v>0</v>
      </c>
      <c r="J371" s="230">
        <f t="shared" si="241"/>
        <v>0</v>
      </c>
      <c r="K371" s="230">
        <f t="shared" si="241"/>
        <v>0</v>
      </c>
      <c r="L371" s="230">
        <f t="shared" si="241"/>
        <v>0</v>
      </c>
      <c r="M371" s="230">
        <f t="shared" si="241"/>
        <v>0</v>
      </c>
      <c r="N371" s="230">
        <f t="shared" si="241"/>
        <v>0</v>
      </c>
      <c r="O371" s="230">
        <f t="shared" si="241"/>
        <v>0</v>
      </c>
      <c r="P371" s="230">
        <f t="shared" si="241"/>
        <v>0</v>
      </c>
    </row>
    <row r="372" spans="2:16" hidden="1" outlineLevel="2">
      <c r="B372">
        <f t="shared" si="239"/>
        <v>15</v>
      </c>
      <c r="C372" s="73" t="str">
        <v>SpareOfferA15</v>
      </c>
      <c r="D372" t="s">
        <v>174</v>
      </c>
      <c r="F372" s="87">
        <v>0</v>
      </c>
      <c r="H372" s="230">
        <f t="shared" si="241"/>
        <v>0</v>
      </c>
      <c r="I372" s="230">
        <f t="shared" si="241"/>
        <v>0</v>
      </c>
      <c r="J372" s="230">
        <f t="shared" si="241"/>
        <v>0</v>
      </c>
      <c r="K372" s="230">
        <f t="shared" si="241"/>
        <v>0</v>
      </c>
      <c r="L372" s="230">
        <f t="shared" si="241"/>
        <v>0</v>
      </c>
      <c r="M372" s="230">
        <f t="shared" si="241"/>
        <v>0</v>
      </c>
      <c r="N372" s="230">
        <f t="shared" si="241"/>
        <v>0</v>
      </c>
      <c r="O372" s="230">
        <f t="shared" si="241"/>
        <v>0</v>
      </c>
      <c r="P372" s="230">
        <f t="shared" si="241"/>
        <v>0</v>
      </c>
    </row>
    <row r="373" spans="2:16" hidden="1" outlineLevel="2">
      <c r="B373">
        <f t="shared" si="239"/>
        <v>16</v>
      </c>
      <c r="C373" s="73" t="str">
        <v>SpareOfferA16</v>
      </c>
      <c r="D373" t="s">
        <v>174</v>
      </c>
      <c r="F373" s="87">
        <v>0</v>
      </c>
      <c r="H373" s="230">
        <f t="shared" si="241"/>
        <v>0</v>
      </c>
      <c r="I373" s="230">
        <f t="shared" si="241"/>
        <v>0</v>
      </c>
      <c r="J373" s="230">
        <f t="shared" si="241"/>
        <v>0</v>
      </c>
      <c r="K373" s="230">
        <f t="shared" si="241"/>
        <v>0</v>
      </c>
      <c r="L373" s="230">
        <f t="shared" si="241"/>
        <v>0</v>
      </c>
      <c r="M373" s="230">
        <f t="shared" si="241"/>
        <v>0</v>
      </c>
      <c r="N373" s="230">
        <f t="shared" si="241"/>
        <v>0</v>
      </c>
      <c r="O373" s="230">
        <f t="shared" si="241"/>
        <v>0</v>
      </c>
      <c r="P373" s="230">
        <f t="shared" si="241"/>
        <v>0</v>
      </c>
    </row>
    <row r="374" spans="2:16" hidden="1" outlineLevel="2">
      <c r="B374">
        <f t="shared" si="239"/>
        <v>17</v>
      </c>
      <c r="C374" s="73" t="str">
        <v>SpareOfferA17</v>
      </c>
      <c r="D374" t="s">
        <v>174</v>
      </c>
      <c r="F374" s="87">
        <v>0</v>
      </c>
      <c r="H374" s="230">
        <f t="shared" si="241"/>
        <v>0</v>
      </c>
      <c r="I374" s="230">
        <f t="shared" si="241"/>
        <v>0</v>
      </c>
      <c r="J374" s="230">
        <f t="shared" si="241"/>
        <v>0</v>
      </c>
      <c r="K374" s="230">
        <f t="shared" si="241"/>
        <v>0</v>
      </c>
      <c r="L374" s="230">
        <f t="shared" si="241"/>
        <v>0</v>
      </c>
      <c r="M374" s="230">
        <f t="shared" si="241"/>
        <v>0</v>
      </c>
      <c r="N374" s="230">
        <f t="shared" si="241"/>
        <v>0</v>
      </c>
      <c r="O374" s="230">
        <f t="shared" si="241"/>
        <v>0</v>
      </c>
      <c r="P374" s="230">
        <f t="shared" si="241"/>
        <v>0</v>
      </c>
    </row>
    <row r="375" spans="2:16" hidden="1" outlineLevel="2">
      <c r="B375">
        <f t="shared" si="239"/>
        <v>18</v>
      </c>
      <c r="C375" s="73" t="str">
        <v>SpareOfferA18</v>
      </c>
      <c r="D375" t="s">
        <v>174</v>
      </c>
      <c r="F375" s="87">
        <v>0</v>
      </c>
      <c r="H375" s="230">
        <f t="shared" si="241"/>
        <v>0</v>
      </c>
      <c r="I375" s="230">
        <f t="shared" si="241"/>
        <v>0</v>
      </c>
      <c r="J375" s="230">
        <f t="shared" si="241"/>
        <v>0</v>
      </c>
      <c r="K375" s="230">
        <f t="shared" si="241"/>
        <v>0</v>
      </c>
      <c r="L375" s="230">
        <f t="shared" si="241"/>
        <v>0</v>
      </c>
      <c r="M375" s="230">
        <f t="shared" si="241"/>
        <v>0</v>
      </c>
      <c r="N375" s="230">
        <f t="shared" si="241"/>
        <v>0</v>
      </c>
      <c r="O375" s="230">
        <f t="shared" si="241"/>
        <v>0</v>
      </c>
      <c r="P375" s="230">
        <f t="shared" si="241"/>
        <v>0</v>
      </c>
    </row>
    <row r="376" spans="2:16" hidden="1" outlineLevel="2">
      <c r="B376">
        <f t="shared" si="239"/>
        <v>19</v>
      </c>
      <c r="C376" s="73" t="str">
        <v>SpareOfferA19</v>
      </c>
      <c r="D376" t="s">
        <v>174</v>
      </c>
      <c r="F376" s="87">
        <v>0</v>
      </c>
      <c r="H376" s="230">
        <f t="shared" si="241"/>
        <v>0</v>
      </c>
      <c r="I376" s="230">
        <f t="shared" si="241"/>
        <v>0</v>
      </c>
      <c r="J376" s="230">
        <f t="shared" si="241"/>
        <v>0</v>
      </c>
      <c r="K376" s="230">
        <f t="shared" si="241"/>
        <v>0</v>
      </c>
      <c r="L376" s="230">
        <f t="shared" si="241"/>
        <v>0</v>
      </c>
      <c r="M376" s="230">
        <f t="shared" si="241"/>
        <v>0</v>
      </c>
      <c r="N376" s="230">
        <f t="shared" si="241"/>
        <v>0</v>
      </c>
      <c r="O376" s="230">
        <f t="shared" si="241"/>
        <v>0</v>
      </c>
      <c r="P376" s="230">
        <f t="shared" si="241"/>
        <v>0</v>
      </c>
    </row>
    <row r="377" spans="2:16" hidden="1" outlineLevel="2">
      <c r="B377">
        <f t="shared" si="239"/>
        <v>20</v>
      </c>
      <c r="C377" s="73" t="str">
        <v>SpareOfferA20</v>
      </c>
      <c r="D377" t="s">
        <v>174</v>
      </c>
      <c r="F377" s="87">
        <v>0</v>
      </c>
      <c r="H377" s="230">
        <f t="shared" si="241"/>
        <v>0</v>
      </c>
      <c r="I377" s="230">
        <f t="shared" si="241"/>
        <v>0</v>
      </c>
      <c r="J377" s="230">
        <f t="shared" si="241"/>
        <v>0</v>
      </c>
      <c r="K377" s="230">
        <f t="shared" si="241"/>
        <v>0</v>
      </c>
      <c r="L377" s="230">
        <f t="shared" si="241"/>
        <v>0</v>
      </c>
      <c r="M377" s="230">
        <f t="shared" si="241"/>
        <v>0</v>
      </c>
      <c r="N377" s="230">
        <f t="shared" si="241"/>
        <v>0</v>
      </c>
      <c r="O377" s="230">
        <f t="shared" si="241"/>
        <v>0</v>
      </c>
      <c r="P377" s="230">
        <f t="shared" si="241"/>
        <v>0</v>
      </c>
    </row>
    <row r="378" spans="2:16" hidden="1" outlineLevel="2">
      <c r="B378">
        <f t="shared" si="239"/>
        <v>21</v>
      </c>
      <c r="C378" s="73" t="str">
        <v>SpareOfferA21</v>
      </c>
      <c r="D378" t="s">
        <v>174</v>
      </c>
      <c r="F378" s="87">
        <v>0</v>
      </c>
      <c r="H378" s="230">
        <f t="shared" ref="H378:P392" si="242">INDEX(per.sub.volumes.by.demand.descriptions,$B378,H$355)</f>
        <v>0</v>
      </c>
      <c r="I378" s="230">
        <f t="shared" si="242"/>
        <v>0</v>
      </c>
      <c r="J378" s="230">
        <f t="shared" si="242"/>
        <v>0</v>
      </c>
      <c r="K378" s="230">
        <f t="shared" si="242"/>
        <v>0</v>
      </c>
      <c r="L378" s="230">
        <f t="shared" si="242"/>
        <v>0</v>
      </c>
      <c r="M378" s="230">
        <f t="shared" si="242"/>
        <v>0</v>
      </c>
      <c r="N378" s="230">
        <f t="shared" si="242"/>
        <v>0</v>
      </c>
      <c r="O378" s="230">
        <f t="shared" si="242"/>
        <v>0</v>
      </c>
      <c r="P378" s="230">
        <f t="shared" si="242"/>
        <v>0</v>
      </c>
    </row>
    <row r="379" spans="2:16" hidden="1" outlineLevel="2">
      <c r="B379">
        <f t="shared" si="239"/>
        <v>22</v>
      </c>
      <c r="C379" s="73" t="str">
        <v>SpareOfferA22</v>
      </c>
      <c r="D379" t="s">
        <v>174</v>
      </c>
      <c r="F379" s="87">
        <v>0</v>
      </c>
      <c r="H379" s="230">
        <f t="shared" si="242"/>
        <v>0</v>
      </c>
      <c r="I379" s="230">
        <f t="shared" si="242"/>
        <v>0</v>
      </c>
      <c r="J379" s="230">
        <f t="shared" si="242"/>
        <v>0</v>
      </c>
      <c r="K379" s="230">
        <f t="shared" si="242"/>
        <v>0</v>
      </c>
      <c r="L379" s="230">
        <f t="shared" si="242"/>
        <v>0</v>
      </c>
      <c r="M379" s="230">
        <f t="shared" si="242"/>
        <v>0</v>
      </c>
      <c r="N379" s="230">
        <f t="shared" si="242"/>
        <v>0</v>
      </c>
      <c r="O379" s="230">
        <f t="shared" si="242"/>
        <v>0</v>
      </c>
      <c r="P379" s="230">
        <f t="shared" si="242"/>
        <v>0</v>
      </c>
    </row>
    <row r="380" spans="2:16" hidden="1" outlineLevel="2">
      <c r="B380">
        <f t="shared" si="239"/>
        <v>23</v>
      </c>
      <c r="C380" s="73" t="str">
        <v>SpareOfferA23</v>
      </c>
      <c r="D380" t="s">
        <v>174</v>
      </c>
      <c r="F380" s="87">
        <v>0</v>
      </c>
      <c r="H380" s="230">
        <f t="shared" si="242"/>
        <v>0</v>
      </c>
      <c r="I380" s="230">
        <f t="shared" si="242"/>
        <v>0</v>
      </c>
      <c r="J380" s="230">
        <f t="shared" si="242"/>
        <v>0</v>
      </c>
      <c r="K380" s="230">
        <f t="shared" si="242"/>
        <v>0</v>
      </c>
      <c r="L380" s="230">
        <f t="shared" si="242"/>
        <v>0</v>
      </c>
      <c r="M380" s="230">
        <f t="shared" si="242"/>
        <v>0</v>
      </c>
      <c r="N380" s="230">
        <f t="shared" si="242"/>
        <v>0</v>
      </c>
      <c r="O380" s="230">
        <f t="shared" si="242"/>
        <v>0</v>
      </c>
      <c r="P380" s="230">
        <f t="shared" si="242"/>
        <v>0</v>
      </c>
    </row>
    <row r="381" spans="2:16" hidden="1" outlineLevel="2">
      <c r="B381">
        <f t="shared" si="239"/>
        <v>24</v>
      </c>
      <c r="C381" s="73" t="str">
        <v>SpareOfferA24</v>
      </c>
      <c r="D381" t="s">
        <v>174</v>
      </c>
      <c r="F381" s="87">
        <v>0</v>
      </c>
      <c r="H381" s="230">
        <f t="shared" si="242"/>
        <v>0</v>
      </c>
      <c r="I381" s="230">
        <f t="shared" si="242"/>
        <v>0</v>
      </c>
      <c r="J381" s="230">
        <f t="shared" si="242"/>
        <v>0</v>
      </c>
      <c r="K381" s="230">
        <f t="shared" si="242"/>
        <v>0</v>
      </c>
      <c r="L381" s="230">
        <f t="shared" si="242"/>
        <v>0</v>
      </c>
      <c r="M381" s="230">
        <f t="shared" si="242"/>
        <v>0</v>
      </c>
      <c r="N381" s="230">
        <f t="shared" si="242"/>
        <v>0</v>
      </c>
      <c r="O381" s="230">
        <f t="shared" si="242"/>
        <v>0</v>
      </c>
      <c r="P381" s="230">
        <f t="shared" si="242"/>
        <v>0</v>
      </c>
    </row>
    <row r="382" spans="2:16" hidden="1" outlineLevel="2">
      <c r="B382">
        <f t="shared" si="239"/>
        <v>25</v>
      </c>
      <c r="C382" s="73" t="str">
        <v>SpareOfferA25</v>
      </c>
      <c r="D382" t="s">
        <v>174</v>
      </c>
      <c r="F382" s="87">
        <v>0</v>
      </c>
      <c r="H382" s="230">
        <f t="shared" si="242"/>
        <v>0</v>
      </c>
      <c r="I382" s="230">
        <f t="shared" si="242"/>
        <v>0</v>
      </c>
      <c r="J382" s="230">
        <f t="shared" si="242"/>
        <v>0</v>
      </c>
      <c r="K382" s="230">
        <f t="shared" si="242"/>
        <v>0</v>
      </c>
      <c r="L382" s="230">
        <f t="shared" si="242"/>
        <v>0</v>
      </c>
      <c r="M382" s="230">
        <f t="shared" si="242"/>
        <v>0</v>
      </c>
      <c r="N382" s="230">
        <f t="shared" si="242"/>
        <v>0</v>
      </c>
      <c r="O382" s="230">
        <f t="shared" si="242"/>
        <v>0</v>
      </c>
      <c r="P382" s="230">
        <f t="shared" si="242"/>
        <v>0</v>
      </c>
    </row>
    <row r="383" spans="2:16" hidden="1" outlineLevel="2">
      <c r="B383">
        <f t="shared" si="239"/>
        <v>26</v>
      </c>
      <c r="C383" s="73" t="str">
        <v>SpareOfferA26</v>
      </c>
      <c r="D383" t="s">
        <v>174</v>
      </c>
      <c r="F383" s="87">
        <v>0</v>
      </c>
      <c r="H383" s="230">
        <f t="shared" si="242"/>
        <v>0</v>
      </c>
      <c r="I383" s="230">
        <f t="shared" si="242"/>
        <v>0</v>
      </c>
      <c r="J383" s="230">
        <f t="shared" si="242"/>
        <v>0</v>
      </c>
      <c r="K383" s="230">
        <f t="shared" si="242"/>
        <v>0</v>
      </c>
      <c r="L383" s="230">
        <f t="shared" si="242"/>
        <v>0</v>
      </c>
      <c r="M383" s="230">
        <f t="shared" si="242"/>
        <v>0</v>
      </c>
      <c r="N383" s="230">
        <f t="shared" si="242"/>
        <v>0</v>
      </c>
      <c r="O383" s="230">
        <f t="shared" si="242"/>
        <v>0</v>
      </c>
      <c r="P383" s="230">
        <f t="shared" si="242"/>
        <v>0</v>
      </c>
    </row>
    <row r="384" spans="2:16" hidden="1" outlineLevel="2">
      <c r="B384">
        <f t="shared" si="239"/>
        <v>27</v>
      </c>
      <c r="C384" s="73" t="str">
        <v>SpareOfferA27</v>
      </c>
      <c r="D384" t="s">
        <v>174</v>
      </c>
      <c r="F384" s="87">
        <v>0</v>
      </c>
      <c r="H384" s="230">
        <f t="shared" si="242"/>
        <v>0</v>
      </c>
      <c r="I384" s="230">
        <f t="shared" si="242"/>
        <v>0</v>
      </c>
      <c r="J384" s="230">
        <f t="shared" si="242"/>
        <v>0</v>
      </c>
      <c r="K384" s="230">
        <f t="shared" si="242"/>
        <v>0</v>
      </c>
      <c r="L384" s="230">
        <f t="shared" si="242"/>
        <v>0</v>
      </c>
      <c r="M384" s="230">
        <f t="shared" si="242"/>
        <v>0</v>
      </c>
      <c r="N384" s="230">
        <f t="shared" si="242"/>
        <v>0</v>
      </c>
      <c r="O384" s="230">
        <f t="shared" si="242"/>
        <v>0</v>
      </c>
      <c r="P384" s="230">
        <f t="shared" si="242"/>
        <v>0</v>
      </c>
    </row>
    <row r="385" spans="2:16" hidden="1" outlineLevel="2">
      <c r="B385">
        <f t="shared" si="239"/>
        <v>28</v>
      </c>
      <c r="C385" s="73" t="str">
        <v>SpareOfferA28</v>
      </c>
      <c r="D385" t="s">
        <v>174</v>
      </c>
      <c r="F385" s="87">
        <v>0</v>
      </c>
      <c r="H385" s="230">
        <f t="shared" si="242"/>
        <v>0</v>
      </c>
      <c r="I385" s="230">
        <f t="shared" si="242"/>
        <v>0</v>
      </c>
      <c r="J385" s="230">
        <f t="shared" si="242"/>
        <v>0</v>
      </c>
      <c r="K385" s="230">
        <f t="shared" si="242"/>
        <v>0</v>
      </c>
      <c r="L385" s="230">
        <f t="shared" si="242"/>
        <v>0</v>
      </c>
      <c r="M385" s="230">
        <f t="shared" si="242"/>
        <v>0</v>
      </c>
      <c r="N385" s="230">
        <f t="shared" si="242"/>
        <v>0</v>
      </c>
      <c r="O385" s="230">
        <f t="shared" si="242"/>
        <v>0</v>
      </c>
      <c r="P385" s="230">
        <f t="shared" si="242"/>
        <v>0</v>
      </c>
    </row>
    <row r="386" spans="2:16" hidden="1" outlineLevel="2">
      <c r="B386">
        <f t="shared" si="239"/>
        <v>29</v>
      </c>
      <c r="C386" s="73" t="str">
        <v>SpareOfferA29</v>
      </c>
      <c r="D386" t="s">
        <v>174</v>
      </c>
      <c r="F386" s="87">
        <v>0</v>
      </c>
      <c r="H386" s="230">
        <f t="shared" si="242"/>
        <v>0</v>
      </c>
      <c r="I386" s="230">
        <f t="shared" si="242"/>
        <v>0</v>
      </c>
      <c r="J386" s="230">
        <f t="shared" si="242"/>
        <v>0</v>
      </c>
      <c r="K386" s="230">
        <f t="shared" si="242"/>
        <v>0</v>
      </c>
      <c r="L386" s="230">
        <f t="shared" si="242"/>
        <v>0</v>
      </c>
      <c r="M386" s="230">
        <f t="shared" si="242"/>
        <v>0</v>
      </c>
      <c r="N386" s="230">
        <f t="shared" si="242"/>
        <v>0</v>
      </c>
      <c r="O386" s="230">
        <f t="shared" si="242"/>
        <v>0</v>
      </c>
      <c r="P386" s="230">
        <f t="shared" si="242"/>
        <v>0</v>
      </c>
    </row>
    <row r="387" spans="2:16" hidden="1" outlineLevel="2">
      <c r="B387">
        <f t="shared" si="239"/>
        <v>30</v>
      </c>
      <c r="C387" s="73" t="str">
        <v>SpareOfferA30</v>
      </c>
      <c r="D387" t="s">
        <v>174</v>
      </c>
      <c r="F387" s="87">
        <v>0</v>
      </c>
      <c r="H387" s="230">
        <f t="shared" si="242"/>
        <v>0</v>
      </c>
      <c r="I387" s="230">
        <f t="shared" si="242"/>
        <v>0</v>
      </c>
      <c r="J387" s="230">
        <f t="shared" si="242"/>
        <v>0</v>
      </c>
      <c r="K387" s="230">
        <f t="shared" si="242"/>
        <v>0</v>
      </c>
      <c r="L387" s="230">
        <f t="shared" si="242"/>
        <v>0</v>
      </c>
      <c r="M387" s="230">
        <f t="shared" si="242"/>
        <v>0</v>
      </c>
      <c r="N387" s="230">
        <f t="shared" si="242"/>
        <v>0</v>
      </c>
      <c r="O387" s="230">
        <f t="shared" si="242"/>
        <v>0</v>
      </c>
      <c r="P387" s="230">
        <f t="shared" si="242"/>
        <v>0</v>
      </c>
    </row>
    <row r="388" spans="2:16" hidden="1" outlineLevel="2">
      <c r="B388">
        <f t="shared" si="239"/>
        <v>31</v>
      </c>
      <c r="C388" s="73" t="str">
        <v>SpareOfferA31</v>
      </c>
      <c r="D388" t="s">
        <v>174</v>
      </c>
      <c r="F388" s="87">
        <v>0</v>
      </c>
      <c r="H388" s="230">
        <f t="shared" si="242"/>
        <v>0</v>
      </c>
      <c r="I388" s="230">
        <f t="shared" si="242"/>
        <v>0</v>
      </c>
      <c r="J388" s="230">
        <f t="shared" si="242"/>
        <v>0</v>
      </c>
      <c r="K388" s="230">
        <f t="shared" si="242"/>
        <v>0</v>
      </c>
      <c r="L388" s="230">
        <f t="shared" si="242"/>
        <v>0</v>
      </c>
      <c r="M388" s="230">
        <f t="shared" si="242"/>
        <v>0</v>
      </c>
      <c r="N388" s="230">
        <f t="shared" si="242"/>
        <v>0</v>
      </c>
      <c r="O388" s="230">
        <f t="shared" si="242"/>
        <v>0</v>
      </c>
      <c r="P388" s="230">
        <f t="shared" si="242"/>
        <v>0</v>
      </c>
    </row>
    <row r="389" spans="2:16" hidden="1" outlineLevel="2">
      <c r="B389">
        <f t="shared" si="239"/>
        <v>32</v>
      </c>
      <c r="C389" s="73" t="str">
        <v>SpareOfferA32</v>
      </c>
      <c r="D389" t="s">
        <v>174</v>
      </c>
      <c r="F389" s="87">
        <v>0</v>
      </c>
      <c r="H389" s="230">
        <f t="shared" si="242"/>
        <v>0</v>
      </c>
      <c r="I389" s="230">
        <f t="shared" si="242"/>
        <v>0</v>
      </c>
      <c r="J389" s="230">
        <f t="shared" si="242"/>
        <v>0</v>
      </c>
      <c r="K389" s="230">
        <f t="shared" si="242"/>
        <v>0</v>
      </c>
      <c r="L389" s="230">
        <f t="shared" si="242"/>
        <v>0</v>
      </c>
      <c r="M389" s="230">
        <f t="shared" si="242"/>
        <v>0</v>
      </c>
      <c r="N389" s="230">
        <f t="shared" si="242"/>
        <v>0</v>
      </c>
      <c r="O389" s="230">
        <f t="shared" si="242"/>
        <v>0</v>
      </c>
      <c r="P389" s="230">
        <f t="shared" si="242"/>
        <v>0</v>
      </c>
    </row>
    <row r="390" spans="2:16" hidden="1" outlineLevel="2">
      <c r="B390">
        <f t="shared" si="239"/>
        <v>33</v>
      </c>
      <c r="C390" s="73" t="str">
        <v>SpareOfferA33</v>
      </c>
      <c r="D390" t="s">
        <v>174</v>
      </c>
      <c r="F390" s="87">
        <v>0</v>
      </c>
      <c r="H390" s="230">
        <f t="shared" si="242"/>
        <v>0</v>
      </c>
      <c r="I390" s="230">
        <f t="shared" si="242"/>
        <v>0</v>
      </c>
      <c r="J390" s="230">
        <f t="shared" si="242"/>
        <v>0</v>
      </c>
      <c r="K390" s="230">
        <f t="shared" si="242"/>
        <v>0</v>
      </c>
      <c r="L390" s="230">
        <f t="shared" si="242"/>
        <v>0</v>
      </c>
      <c r="M390" s="230">
        <f t="shared" si="242"/>
        <v>0</v>
      </c>
      <c r="N390" s="230">
        <f t="shared" si="242"/>
        <v>0</v>
      </c>
      <c r="O390" s="230">
        <f t="shared" si="242"/>
        <v>0</v>
      </c>
      <c r="P390" s="230">
        <f t="shared" si="242"/>
        <v>0</v>
      </c>
    </row>
    <row r="391" spans="2:16" hidden="1" outlineLevel="2">
      <c r="B391">
        <f t="shared" si="239"/>
        <v>34</v>
      </c>
      <c r="C391" s="73" t="str">
        <v>SpareOfferA34</v>
      </c>
      <c r="D391" t="s">
        <v>174</v>
      </c>
      <c r="F391" s="87">
        <v>0</v>
      </c>
      <c r="H391" s="230">
        <f t="shared" si="242"/>
        <v>0</v>
      </c>
      <c r="I391" s="230">
        <f t="shared" si="242"/>
        <v>0</v>
      </c>
      <c r="J391" s="230">
        <f t="shared" si="242"/>
        <v>0</v>
      </c>
      <c r="K391" s="230">
        <f t="shared" si="242"/>
        <v>0</v>
      </c>
      <c r="L391" s="230">
        <f t="shared" si="242"/>
        <v>0</v>
      </c>
      <c r="M391" s="230">
        <f t="shared" si="242"/>
        <v>0</v>
      </c>
      <c r="N391" s="230">
        <f t="shared" si="242"/>
        <v>0</v>
      </c>
      <c r="O391" s="230">
        <f t="shared" si="242"/>
        <v>0</v>
      </c>
      <c r="P391" s="230">
        <f t="shared" si="242"/>
        <v>0</v>
      </c>
    </row>
    <row r="392" spans="2:16" outlineLevel="1" collapsed="1">
      <c r="B392">
        <f t="shared" si="239"/>
        <v>35</v>
      </c>
      <c r="C392" s="73" t="str">
        <v>SpareOfferA35</v>
      </c>
      <c r="D392" t="s">
        <v>174</v>
      </c>
      <c r="F392" s="87">
        <v>0</v>
      </c>
      <c r="H392" s="230">
        <f t="shared" si="242"/>
        <v>0</v>
      </c>
      <c r="I392" s="230">
        <f t="shared" si="242"/>
        <v>0</v>
      </c>
      <c r="J392" s="230">
        <f t="shared" si="242"/>
        <v>0</v>
      </c>
      <c r="K392" s="230">
        <f t="shared" si="242"/>
        <v>0</v>
      </c>
      <c r="L392" s="230">
        <f t="shared" si="242"/>
        <v>0</v>
      </c>
      <c r="M392" s="230">
        <f t="shared" si="242"/>
        <v>0</v>
      </c>
      <c r="N392" s="230">
        <f t="shared" si="242"/>
        <v>0</v>
      </c>
      <c r="O392" s="230">
        <f t="shared" si="242"/>
        <v>0</v>
      </c>
      <c r="P392" s="230">
        <f t="shared" si="242"/>
        <v>0</v>
      </c>
    </row>
    <row r="393" spans="2:16" outlineLevel="1"/>
    <row r="394" spans="2:16" ht="34.5" outlineLevel="1">
      <c r="B394" s="91" t="s">
        <v>219</v>
      </c>
      <c r="F394" s="127" t="s">
        <v>190</v>
      </c>
      <c r="H394" s="1" t="str">
        <f t="array" ref="H394:P394">options.selected.roaming.detailed</f>
        <v>Roaming voice (EEA)</v>
      </c>
      <c r="I394" s="1" t="str">
        <v>Roaming voice (non-EEA)</v>
      </c>
      <c r="J394" s="1" t="str">
        <v>Roaming CF (EEA)</v>
      </c>
      <c r="K394" s="1" t="str">
        <v>Roaming CF (non-EEA)</v>
      </c>
      <c r="L394" s="1" t="str">
        <v>Roaming messages (EEA)</v>
      </c>
      <c r="M394" s="1" t="str">
        <v>Roaming messages (non-EEA)</v>
      </c>
      <c r="N394" s="1" t="str">
        <v>Roaming data (EEA)</v>
      </c>
      <c r="O394" s="1" t="str">
        <v>Roaming data (non-EEA)</v>
      </c>
      <c r="P394" s="1" t="str">
        <v>Spare 1</v>
      </c>
    </row>
    <row r="395" spans="2:16" outlineLevel="1">
      <c r="C395" s="93" t="s">
        <v>342</v>
      </c>
      <c r="D395" t="s">
        <v>301</v>
      </c>
      <c r="F395" s="233">
        <f>SUM(H395:P395)</f>
        <v>0</v>
      </c>
      <c r="H395" s="232">
        <f t="shared" ref="H395" si="243">H357*H$353</f>
        <v>0</v>
      </c>
      <c r="I395" s="232">
        <f t="shared" ref="I395:P395" si="244">I357*I$353</f>
        <v>0</v>
      </c>
      <c r="J395" s="232">
        <f t="shared" si="244"/>
        <v>0</v>
      </c>
      <c r="K395" s="232">
        <f t="shared" si="244"/>
        <v>0</v>
      </c>
      <c r="L395" s="232">
        <f t="shared" si="244"/>
        <v>0</v>
      </c>
      <c r="M395" s="232">
        <f t="shared" si="244"/>
        <v>0</v>
      </c>
      <c r="N395" s="232">
        <f t="shared" si="244"/>
        <v>0</v>
      </c>
      <c r="O395" s="232">
        <f t="shared" si="244"/>
        <v>0</v>
      </c>
      <c r="P395" s="232">
        <f t="shared" si="244"/>
        <v>0</v>
      </c>
    </row>
    <row r="396" spans="2:16" outlineLevel="1">
      <c r="C396" s="73" t="str">
        <f t="array" ref="C396:C430">offers.segment.1</f>
        <v>SpareOfferA1</v>
      </c>
      <c r="D396" t="s">
        <v>301</v>
      </c>
      <c r="F396" s="234">
        <f t="shared" ref="F396:F429" si="245">SUM(H396:P396)</f>
        <v>0</v>
      </c>
      <c r="H396" s="232">
        <f>H358*H$353</f>
        <v>0</v>
      </c>
      <c r="I396" s="232">
        <f t="shared" ref="I396:P396" si="246">I358*I$353</f>
        <v>0</v>
      </c>
      <c r="J396" s="232">
        <f t="shared" si="246"/>
        <v>0</v>
      </c>
      <c r="K396" s="232">
        <f t="shared" si="246"/>
        <v>0</v>
      </c>
      <c r="L396" s="232">
        <f t="shared" si="246"/>
        <v>0</v>
      </c>
      <c r="M396" s="232">
        <f t="shared" si="246"/>
        <v>0</v>
      </c>
      <c r="N396" s="232">
        <f t="shared" si="246"/>
        <v>0</v>
      </c>
      <c r="O396" s="232">
        <f t="shared" si="246"/>
        <v>0</v>
      </c>
      <c r="P396" s="232">
        <f t="shared" si="246"/>
        <v>0</v>
      </c>
    </row>
    <row r="397" spans="2:16" hidden="1" outlineLevel="2">
      <c r="C397" s="73" t="str">
        <v>SpareOfferA2</v>
      </c>
      <c r="D397" t="s">
        <v>301</v>
      </c>
      <c r="F397" s="234">
        <f t="shared" si="245"/>
        <v>0</v>
      </c>
      <c r="H397" s="232">
        <f t="shared" ref="H397" si="247">H359*H$353</f>
        <v>0</v>
      </c>
      <c r="I397" s="232">
        <f t="shared" ref="I397:P397" si="248">I359*I$353</f>
        <v>0</v>
      </c>
      <c r="J397" s="232">
        <f t="shared" si="248"/>
        <v>0</v>
      </c>
      <c r="K397" s="232">
        <f t="shared" si="248"/>
        <v>0</v>
      </c>
      <c r="L397" s="232">
        <f t="shared" si="248"/>
        <v>0</v>
      </c>
      <c r="M397" s="232">
        <f t="shared" si="248"/>
        <v>0</v>
      </c>
      <c r="N397" s="232">
        <f t="shared" si="248"/>
        <v>0</v>
      </c>
      <c r="O397" s="232">
        <f t="shared" si="248"/>
        <v>0</v>
      </c>
      <c r="P397" s="232">
        <f t="shared" si="248"/>
        <v>0</v>
      </c>
    </row>
    <row r="398" spans="2:16" hidden="1" outlineLevel="2">
      <c r="C398" s="73" t="str">
        <v>SpareOfferA3</v>
      </c>
      <c r="D398" t="s">
        <v>301</v>
      </c>
      <c r="F398" s="234">
        <f t="shared" si="245"/>
        <v>0</v>
      </c>
      <c r="H398" s="232">
        <f t="shared" ref="H398" si="249">H360*H$353</f>
        <v>0</v>
      </c>
      <c r="I398" s="232">
        <f t="shared" ref="I398:P398" si="250">I360*I$353</f>
        <v>0</v>
      </c>
      <c r="J398" s="232">
        <f t="shared" si="250"/>
        <v>0</v>
      </c>
      <c r="K398" s="232">
        <f t="shared" si="250"/>
        <v>0</v>
      </c>
      <c r="L398" s="232">
        <f t="shared" si="250"/>
        <v>0</v>
      </c>
      <c r="M398" s="232">
        <f t="shared" si="250"/>
        <v>0</v>
      </c>
      <c r="N398" s="232">
        <f t="shared" si="250"/>
        <v>0</v>
      </c>
      <c r="O398" s="232">
        <f t="shared" si="250"/>
        <v>0</v>
      </c>
      <c r="P398" s="232">
        <f t="shared" si="250"/>
        <v>0</v>
      </c>
    </row>
    <row r="399" spans="2:16" hidden="1" outlineLevel="2">
      <c r="C399" s="73" t="str">
        <v>SpareOfferA4</v>
      </c>
      <c r="D399" t="s">
        <v>301</v>
      </c>
      <c r="F399" s="234">
        <f t="shared" si="245"/>
        <v>0</v>
      </c>
      <c r="H399" s="232">
        <f t="shared" ref="H399" si="251">H361*H$353</f>
        <v>0</v>
      </c>
      <c r="I399" s="232">
        <f t="shared" ref="I399:P399" si="252">I361*I$353</f>
        <v>0</v>
      </c>
      <c r="J399" s="232">
        <f t="shared" si="252"/>
        <v>0</v>
      </c>
      <c r="K399" s="232">
        <f t="shared" si="252"/>
        <v>0</v>
      </c>
      <c r="L399" s="232">
        <f t="shared" si="252"/>
        <v>0</v>
      </c>
      <c r="M399" s="232">
        <f t="shared" si="252"/>
        <v>0</v>
      </c>
      <c r="N399" s="232">
        <f t="shared" si="252"/>
        <v>0</v>
      </c>
      <c r="O399" s="232">
        <f t="shared" si="252"/>
        <v>0</v>
      </c>
      <c r="P399" s="232">
        <f t="shared" si="252"/>
        <v>0</v>
      </c>
    </row>
    <row r="400" spans="2:16" hidden="1" outlineLevel="2">
      <c r="C400" s="73" t="str">
        <v>SpareOfferA5</v>
      </c>
      <c r="D400" t="s">
        <v>301</v>
      </c>
      <c r="F400" s="234">
        <f t="shared" si="245"/>
        <v>0</v>
      </c>
      <c r="H400" s="232">
        <f t="shared" ref="H400" si="253">H362*H$353</f>
        <v>0</v>
      </c>
      <c r="I400" s="232">
        <f t="shared" ref="I400:P400" si="254">I362*I$353</f>
        <v>0</v>
      </c>
      <c r="J400" s="232">
        <f t="shared" si="254"/>
        <v>0</v>
      </c>
      <c r="K400" s="232">
        <f t="shared" si="254"/>
        <v>0</v>
      </c>
      <c r="L400" s="232">
        <f t="shared" si="254"/>
        <v>0</v>
      </c>
      <c r="M400" s="232">
        <f t="shared" si="254"/>
        <v>0</v>
      </c>
      <c r="N400" s="232">
        <f t="shared" si="254"/>
        <v>0</v>
      </c>
      <c r="O400" s="232">
        <f t="shared" si="254"/>
        <v>0</v>
      </c>
      <c r="P400" s="232">
        <f t="shared" si="254"/>
        <v>0</v>
      </c>
    </row>
    <row r="401" spans="3:16" hidden="1" outlineLevel="2">
      <c r="C401" s="73" t="str">
        <v>SpareOfferA6</v>
      </c>
      <c r="D401" t="s">
        <v>301</v>
      </c>
      <c r="F401" s="234">
        <f t="shared" si="245"/>
        <v>0</v>
      </c>
      <c r="H401" s="232">
        <f t="shared" ref="H401" si="255">H363*H$353</f>
        <v>0</v>
      </c>
      <c r="I401" s="232">
        <f t="shared" ref="I401:P401" si="256">I363*I$353</f>
        <v>0</v>
      </c>
      <c r="J401" s="232">
        <f t="shared" si="256"/>
        <v>0</v>
      </c>
      <c r="K401" s="232">
        <f t="shared" si="256"/>
        <v>0</v>
      </c>
      <c r="L401" s="232">
        <f t="shared" si="256"/>
        <v>0</v>
      </c>
      <c r="M401" s="232">
        <f t="shared" si="256"/>
        <v>0</v>
      </c>
      <c r="N401" s="232">
        <f t="shared" si="256"/>
        <v>0</v>
      </c>
      <c r="O401" s="232">
        <f t="shared" si="256"/>
        <v>0</v>
      </c>
      <c r="P401" s="232">
        <f t="shared" si="256"/>
        <v>0</v>
      </c>
    </row>
    <row r="402" spans="3:16" hidden="1" outlineLevel="2">
      <c r="C402" s="73" t="str">
        <v>SpareOfferA7</v>
      </c>
      <c r="D402" t="s">
        <v>301</v>
      </c>
      <c r="F402" s="234">
        <f t="shared" si="245"/>
        <v>0</v>
      </c>
      <c r="H402" s="232">
        <f t="shared" ref="H402" si="257">H364*H$353</f>
        <v>0</v>
      </c>
      <c r="I402" s="232">
        <f t="shared" ref="I402:P402" si="258">I364*I$353</f>
        <v>0</v>
      </c>
      <c r="J402" s="232">
        <f t="shared" si="258"/>
        <v>0</v>
      </c>
      <c r="K402" s="232">
        <f t="shared" si="258"/>
        <v>0</v>
      </c>
      <c r="L402" s="232">
        <f t="shared" si="258"/>
        <v>0</v>
      </c>
      <c r="M402" s="232">
        <f t="shared" si="258"/>
        <v>0</v>
      </c>
      <c r="N402" s="232">
        <f t="shared" si="258"/>
        <v>0</v>
      </c>
      <c r="O402" s="232">
        <f t="shared" si="258"/>
        <v>0</v>
      </c>
      <c r="P402" s="232">
        <f t="shared" si="258"/>
        <v>0</v>
      </c>
    </row>
    <row r="403" spans="3:16" hidden="1" outlineLevel="2">
      <c r="C403" s="73" t="str">
        <v>SpareOfferA8</v>
      </c>
      <c r="D403" t="s">
        <v>301</v>
      </c>
      <c r="F403" s="234">
        <f t="shared" si="245"/>
        <v>0</v>
      </c>
      <c r="H403" s="232">
        <f t="shared" ref="H403" si="259">H365*H$353</f>
        <v>0</v>
      </c>
      <c r="I403" s="232">
        <f t="shared" ref="I403:P403" si="260">I365*I$353</f>
        <v>0</v>
      </c>
      <c r="J403" s="232">
        <f t="shared" si="260"/>
        <v>0</v>
      </c>
      <c r="K403" s="232">
        <f t="shared" si="260"/>
        <v>0</v>
      </c>
      <c r="L403" s="232">
        <f t="shared" si="260"/>
        <v>0</v>
      </c>
      <c r="M403" s="232">
        <f t="shared" si="260"/>
        <v>0</v>
      </c>
      <c r="N403" s="232">
        <f t="shared" si="260"/>
        <v>0</v>
      </c>
      <c r="O403" s="232">
        <f t="shared" si="260"/>
        <v>0</v>
      </c>
      <c r="P403" s="232">
        <f t="shared" si="260"/>
        <v>0</v>
      </c>
    </row>
    <row r="404" spans="3:16" hidden="1" outlineLevel="2">
      <c r="C404" s="73" t="str">
        <v>SpareOfferA9</v>
      </c>
      <c r="D404" t="s">
        <v>301</v>
      </c>
      <c r="F404" s="234">
        <f t="shared" si="245"/>
        <v>0</v>
      </c>
      <c r="H404" s="232">
        <f t="shared" ref="H404" si="261">H366*H$353</f>
        <v>0</v>
      </c>
      <c r="I404" s="232">
        <f t="shared" ref="I404:P404" si="262">I366*I$353</f>
        <v>0</v>
      </c>
      <c r="J404" s="232">
        <f t="shared" si="262"/>
        <v>0</v>
      </c>
      <c r="K404" s="232">
        <f t="shared" si="262"/>
        <v>0</v>
      </c>
      <c r="L404" s="232">
        <f t="shared" si="262"/>
        <v>0</v>
      </c>
      <c r="M404" s="232">
        <f t="shared" si="262"/>
        <v>0</v>
      </c>
      <c r="N404" s="232">
        <f t="shared" si="262"/>
        <v>0</v>
      </c>
      <c r="O404" s="232">
        <f t="shared" si="262"/>
        <v>0</v>
      </c>
      <c r="P404" s="232">
        <f t="shared" si="262"/>
        <v>0</v>
      </c>
    </row>
    <row r="405" spans="3:16" hidden="1" outlineLevel="2">
      <c r="C405" s="73" t="str">
        <v>SpareOfferA10</v>
      </c>
      <c r="D405" t="s">
        <v>301</v>
      </c>
      <c r="F405" s="234">
        <f t="shared" si="245"/>
        <v>0</v>
      </c>
      <c r="H405" s="232">
        <f t="shared" ref="H405" si="263">H367*H$353</f>
        <v>0</v>
      </c>
      <c r="I405" s="232">
        <f t="shared" ref="I405:P405" si="264">I367*I$353</f>
        <v>0</v>
      </c>
      <c r="J405" s="232">
        <f t="shared" si="264"/>
        <v>0</v>
      </c>
      <c r="K405" s="232">
        <f t="shared" si="264"/>
        <v>0</v>
      </c>
      <c r="L405" s="232">
        <f t="shared" si="264"/>
        <v>0</v>
      </c>
      <c r="M405" s="232">
        <f t="shared" si="264"/>
        <v>0</v>
      </c>
      <c r="N405" s="232">
        <f t="shared" si="264"/>
        <v>0</v>
      </c>
      <c r="O405" s="232">
        <f t="shared" si="264"/>
        <v>0</v>
      </c>
      <c r="P405" s="232">
        <f t="shared" si="264"/>
        <v>0</v>
      </c>
    </row>
    <row r="406" spans="3:16" hidden="1" outlineLevel="2">
      <c r="C406" s="73" t="str">
        <v>SpareOfferA11</v>
      </c>
      <c r="D406" t="s">
        <v>301</v>
      </c>
      <c r="F406" s="234">
        <f t="shared" si="245"/>
        <v>0</v>
      </c>
      <c r="H406" s="232">
        <f t="shared" ref="H406" si="265">H368*H$353</f>
        <v>0</v>
      </c>
      <c r="I406" s="232">
        <f t="shared" ref="I406:P406" si="266">I368*I$353</f>
        <v>0</v>
      </c>
      <c r="J406" s="232">
        <f t="shared" si="266"/>
        <v>0</v>
      </c>
      <c r="K406" s="232">
        <f t="shared" si="266"/>
        <v>0</v>
      </c>
      <c r="L406" s="232">
        <f t="shared" si="266"/>
        <v>0</v>
      </c>
      <c r="M406" s="232">
        <f t="shared" si="266"/>
        <v>0</v>
      </c>
      <c r="N406" s="232">
        <f t="shared" si="266"/>
        <v>0</v>
      </c>
      <c r="O406" s="232">
        <f t="shared" si="266"/>
        <v>0</v>
      </c>
      <c r="P406" s="232">
        <f t="shared" si="266"/>
        <v>0</v>
      </c>
    </row>
    <row r="407" spans="3:16" hidden="1" outlineLevel="2">
      <c r="C407" s="73" t="str">
        <v>SpareOfferA12</v>
      </c>
      <c r="D407" t="s">
        <v>301</v>
      </c>
      <c r="F407" s="234">
        <f t="shared" si="245"/>
        <v>0</v>
      </c>
      <c r="H407" s="232">
        <f t="shared" ref="H407" si="267">H369*H$353</f>
        <v>0</v>
      </c>
      <c r="I407" s="232">
        <f t="shared" ref="I407:P407" si="268">I369*I$353</f>
        <v>0</v>
      </c>
      <c r="J407" s="232">
        <f t="shared" si="268"/>
        <v>0</v>
      </c>
      <c r="K407" s="232">
        <f t="shared" si="268"/>
        <v>0</v>
      </c>
      <c r="L407" s="232">
        <f t="shared" si="268"/>
        <v>0</v>
      </c>
      <c r="M407" s="232">
        <f t="shared" si="268"/>
        <v>0</v>
      </c>
      <c r="N407" s="232">
        <f t="shared" si="268"/>
        <v>0</v>
      </c>
      <c r="O407" s="232">
        <f t="shared" si="268"/>
        <v>0</v>
      </c>
      <c r="P407" s="232">
        <f t="shared" si="268"/>
        <v>0</v>
      </c>
    </row>
    <row r="408" spans="3:16" hidden="1" outlineLevel="2">
      <c r="C408" s="73" t="str">
        <v>SpareOfferA13</v>
      </c>
      <c r="D408" t="s">
        <v>301</v>
      </c>
      <c r="F408" s="234">
        <f t="shared" si="245"/>
        <v>0</v>
      </c>
      <c r="H408" s="232">
        <f t="shared" ref="H408" si="269">H370*H$353</f>
        <v>0</v>
      </c>
      <c r="I408" s="232">
        <f t="shared" ref="I408:P408" si="270">I370*I$353</f>
        <v>0</v>
      </c>
      <c r="J408" s="232">
        <f t="shared" si="270"/>
        <v>0</v>
      </c>
      <c r="K408" s="232">
        <f t="shared" si="270"/>
        <v>0</v>
      </c>
      <c r="L408" s="232">
        <f t="shared" si="270"/>
        <v>0</v>
      </c>
      <c r="M408" s="232">
        <f t="shared" si="270"/>
        <v>0</v>
      </c>
      <c r="N408" s="232">
        <f t="shared" si="270"/>
        <v>0</v>
      </c>
      <c r="O408" s="232">
        <f t="shared" si="270"/>
        <v>0</v>
      </c>
      <c r="P408" s="232">
        <f t="shared" si="270"/>
        <v>0</v>
      </c>
    </row>
    <row r="409" spans="3:16" hidden="1" outlineLevel="2">
      <c r="C409" s="73" t="str">
        <v>SpareOfferA14</v>
      </c>
      <c r="D409" t="s">
        <v>301</v>
      </c>
      <c r="F409" s="234">
        <f t="shared" si="245"/>
        <v>0</v>
      </c>
      <c r="H409" s="232">
        <f t="shared" ref="H409" si="271">H371*H$353</f>
        <v>0</v>
      </c>
      <c r="I409" s="232">
        <f t="shared" ref="I409:P409" si="272">I371*I$353</f>
        <v>0</v>
      </c>
      <c r="J409" s="232">
        <f t="shared" si="272"/>
        <v>0</v>
      </c>
      <c r="K409" s="232">
        <f t="shared" si="272"/>
        <v>0</v>
      </c>
      <c r="L409" s="232">
        <f t="shared" si="272"/>
        <v>0</v>
      </c>
      <c r="M409" s="232">
        <f t="shared" si="272"/>
        <v>0</v>
      </c>
      <c r="N409" s="232">
        <f t="shared" si="272"/>
        <v>0</v>
      </c>
      <c r="O409" s="232">
        <f t="shared" si="272"/>
        <v>0</v>
      </c>
      <c r="P409" s="232">
        <f t="shared" si="272"/>
        <v>0</v>
      </c>
    </row>
    <row r="410" spans="3:16" hidden="1" outlineLevel="2">
      <c r="C410" s="73" t="str">
        <v>SpareOfferA15</v>
      </c>
      <c r="D410" t="s">
        <v>301</v>
      </c>
      <c r="F410" s="234">
        <f t="shared" si="245"/>
        <v>0</v>
      </c>
      <c r="H410" s="232">
        <f t="shared" ref="H410" si="273">H372*H$353</f>
        <v>0</v>
      </c>
      <c r="I410" s="232">
        <f t="shared" ref="I410:P410" si="274">I372*I$353</f>
        <v>0</v>
      </c>
      <c r="J410" s="232">
        <f t="shared" si="274"/>
        <v>0</v>
      </c>
      <c r="K410" s="232">
        <f t="shared" si="274"/>
        <v>0</v>
      </c>
      <c r="L410" s="232">
        <f t="shared" si="274"/>
        <v>0</v>
      </c>
      <c r="M410" s="232">
        <f t="shared" si="274"/>
        <v>0</v>
      </c>
      <c r="N410" s="232">
        <f t="shared" si="274"/>
        <v>0</v>
      </c>
      <c r="O410" s="232">
        <f t="shared" si="274"/>
        <v>0</v>
      </c>
      <c r="P410" s="232">
        <f t="shared" si="274"/>
        <v>0</v>
      </c>
    </row>
    <row r="411" spans="3:16" hidden="1" outlineLevel="2">
      <c r="C411" s="73" t="str">
        <v>SpareOfferA16</v>
      </c>
      <c r="D411" t="s">
        <v>301</v>
      </c>
      <c r="F411" s="234">
        <f t="shared" si="245"/>
        <v>0</v>
      </c>
      <c r="H411" s="232">
        <f t="shared" ref="H411" si="275">H373*H$353</f>
        <v>0</v>
      </c>
      <c r="I411" s="232">
        <f t="shared" ref="I411:P411" si="276">I373*I$353</f>
        <v>0</v>
      </c>
      <c r="J411" s="232">
        <f t="shared" si="276"/>
        <v>0</v>
      </c>
      <c r="K411" s="232">
        <f t="shared" si="276"/>
        <v>0</v>
      </c>
      <c r="L411" s="232">
        <f t="shared" si="276"/>
        <v>0</v>
      </c>
      <c r="M411" s="232">
        <f t="shared" si="276"/>
        <v>0</v>
      </c>
      <c r="N411" s="232">
        <f t="shared" si="276"/>
        <v>0</v>
      </c>
      <c r="O411" s="232">
        <f t="shared" si="276"/>
        <v>0</v>
      </c>
      <c r="P411" s="232">
        <f t="shared" si="276"/>
        <v>0</v>
      </c>
    </row>
    <row r="412" spans="3:16" hidden="1" outlineLevel="2">
      <c r="C412" s="73" t="str">
        <v>SpareOfferA17</v>
      </c>
      <c r="D412" t="s">
        <v>301</v>
      </c>
      <c r="F412" s="234">
        <f t="shared" si="245"/>
        <v>0</v>
      </c>
      <c r="H412" s="232">
        <f t="shared" ref="H412" si="277">H374*H$353</f>
        <v>0</v>
      </c>
      <c r="I412" s="232">
        <f t="shared" ref="I412:P412" si="278">I374*I$353</f>
        <v>0</v>
      </c>
      <c r="J412" s="232">
        <f t="shared" si="278"/>
        <v>0</v>
      </c>
      <c r="K412" s="232">
        <f t="shared" si="278"/>
        <v>0</v>
      </c>
      <c r="L412" s="232">
        <f t="shared" si="278"/>
        <v>0</v>
      </c>
      <c r="M412" s="232">
        <f t="shared" si="278"/>
        <v>0</v>
      </c>
      <c r="N412" s="232">
        <f t="shared" si="278"/>
        <v>0</v>
      </c>
      <c r="O412" s="232">
        <f t="shared" si="278"/>
        <v>0</v>
      </c>
      <c r="P412" s="232">
        <f t="shared" si="278"/>
        <v>0</v>
      </c>
    </row>
    <row r="413" spans="3:16" hidden="1" outlineLevel="2">
      <c r="C413" s="73" t="str">
        <v>SpareOfferA18</v>
      </c>
      <c r="D413" t="s">
        <v>301</v>
      </c>
      <c r="F413" s="234">
        <f t="shared" si="245"/>
        <v>0</v>
      </c>
      <c r="H413" s="232">
        <f t="shared" ref="H413" si="279">H375*H$353</f>
        <v>0</v>
      </c>
      <c r="I413" s="232">
        <f t="shared" ref="I413:P413" si="280">I375*I$353</f>
        <v>0</v>
      </c>
      <c r="J413" s="232">
        <f t="shared" si="280"/>
        <v>0</v>
      </c>
      <c r="K413" s="232">
        <f t="shared" si="280"/>
        <v>0</v>
      </c>
      <c r="L413" s="232">
        <f t="shared" si="280"/>
        <v>0</v>
      </c>
      <c r="M413" s="232">
        <f t="shared" si="280"/>
        <v>0</v>
      </c>
      <c r="N413" s="232">
        <f t="shared" si="280"/>
        <v>0</v>
      </c>
      <c r="O413" s="232">
        <f t="shared" si="280"/>
        <v>0</v>
      </c>
      <c r="P413" s="232">
        <f t="shared" si="280"/>
        <v>0</v>
      </c>
    </row>
    <row r="414" spans="3:16" hidden="1" outlineLevel="2">
      <c r="C414" s="73" t="str">
        <v>SpareOfferA19</v>
      </c>
      <c r="D414" t="s">
        <v>301</v>
      </c>
      <c r="F414" s="234">
        <f t="shared" si="245"/>
        <v>0</v>
      </c>
      <c r="H414" s="232">
        <f t="shared" ref="H414" si="281">H376*H$353</f>
        <v>0</v>
      </c>
      <c r="I414" s="232">
        <f t="shared" ref="I414:P414" si="282">I376*I$353</f>
        <v>0</v>
      </c>
      <c r="J414" s="232">
        <f t="shared" si="282"/>
        <v>0</v>
      </c>
      <c r="K414" s="232">
        <f t="shared" si="282"/>
        <v>0</v>
      </c>
      <c r="L414" s="232">
        <f t="shared" si="282"/>
        <v>0</v>
      </c>
      <c r="M414" s="232">
        <f t="shared" si="282"/>
        <v>0</v>
      </c>
      <c r="N414" s="232">
        <f t="shared" si="282"/>
        <v>0</v>
      </c>
      <c r="O414" s="232">
        <f t="shared" si="282"/>
        <v>0</v>
      </c>
      <c r="P414" s="232">
        <f t="shared" si="282"/>
        <v>0</v>
      </c>
    </row>
    <row r="415" spans="3:16" hidden="1" outlineLevel="2">
      <c r="C415" s="73" t="str">
        <v>SpareOfferA20</v>
      </c>
      <c r="D415" t="s">
        <v>301</v>
      </c>
      <c r="F415" s="234">
        <f t="shared" si="245"/>
        <v>0</v>
      </c>
      <c r="H415" s="232">
        <f t="shared" ref="H415" si="283">H377*H$353</f>
        <v>0</v>
      </c>
      <c r="I415" s="232">
        <f t="shared" ref="I415:P415" si="284">I377*I$353</f>
        <v>0</v>
      </c>
      <c r="J415" s="232">
        <f t="shared" si="284"/>
        <v>0</v>
      </c>
      <c r="K415" s="232">
        <f t="shared" si="284"/>
        <v>0</v>
      </c>
      <c r="L415" s="232">
        <f t="shared" si="284"/>
        <v>0</v>
      </c>
      <c r="M415" s="232">
        <f t="shared" si="284"/>
        <v>0</v>
      </c>
      <c r="N415" s="232">
        <f t="shared" si="284"/>
        <v>0</v>
      </c>
      <c r="O415" s="232">
        <f t="shared" si="284"/>
        <v>0</v>
      </c>
      <c r="P415" s="232">
        <f t="shared" si="284"/>
        <v>0</v>
      </c>
    </row>
    <row r="416" spans="3:16" hidden="1" outlineLevel="2">
      <c r="C416" s="73" t="str">
        <v>SpareOfferA21</v>
      </c>
      <c r="D416" t="s">
        <v>301</v>
      </c>
      <c r="F416" s="234">
        <f t="shared" si="245"/>
        <v>0</v>
      </c>
      <c r="H416" s="232">
        <f t="shared" ref="H416" si="285">H378*H$353</f>
        <v>0</v>
      </c>
      <c r="I416" s="232">
        <f t="shared" ref="I416:P416" si="286">I378*I$353</f>
        <v>0</v>
      </c>
      <c r="J416" s="232">
        <f t="shared" si="286"/>
        <v>0</v>
      </c>
      <c r="K416" s="232">
        <f t="shared" si="286"/>
        <v>0</v>
      </c>
      <c r="L416" s="232">
        <f t="shared" si="286"/>
        <v>0</v>
      </c>
      <c r="M416" s="232">
        <f t="shared" si="286"/>
        <v>0</v>
      </c>
      <c r="N416" s="232">
        <f t="shared" si="286"/>
        <v>0</v>
      </c>
      <c r="O416" s="232">
        <f t="shared" si="286"/>
        <v>0</v>
      </c>
      <c r="P416" s="232">
        <f t="shared" si="286"/>
        <v>0</v>
      </c>
    </row>
    <row r="417" spans="1:16" hidden="1" outlineLevel="2">
      <c r="C417" s="73" t="str">
        <v>SpareOfferA22</v>
      </c>
      <c r="D417" t="s">
        <v>301</v>
      </c>
      <c r="F417" s="234">
        <f t="shared" si="245"/>
        <v>0</v>
      </c>
      <c r="H417" s="232">
        <f t="shared" ref="H417" si="287">H379*H$353</f>
        <v>0</v>
      </c>
      <c r="I417" s="232">
        <f t="shared" ref="I417:P417" si="288">I379*I$353</f>
        <v>0</v>
      </c>
      <c r="J417" s="232">
        <f t="shared" si="288"/>
        <v>0</v>
      </c>
      <c r="K417" s="232">
        <f t="shared" si="288"/>
        <v>0</v>
      </c>
      <c r="L417" s="232">
        <f t="shared" si="288"/>
        <v>0</v>
      </c>
      <c r="M417" s="232">
        <f t="shared" si="288"/>
        <v>0</v>
      </c>
      <c r="N417" s="232">
        <f t="shared" si="288"/>
        <v>0</v>
      </c>
      <c r="O417" s="232">
        <f t="shared" si="288"/>
        <v>0</v>
      </c>
      <c r="P417" s="232">
        <f t="shared" si="288"/>
        <v>0</v>
      </c>
    </row>
    <row r="418" spans="1:16" hidden="1" outlineLevel="2">
      <c r="C418" s="73" t="str">
        <v>SpareOfferA23</v>
      </c>
      <c r="D418" t="s">
        <v>301</v>
      </c>
      <c r="F418" s="234">
        <f t="shared" si="245"/>
        <v>0</v>
      </c>
      <c r="H418" s="232">
        <f t="shared" ref="H418" si="289">H380*H$353</f>
        <v>0</v>
      </c>
      <c r="I418" s="232">
        <f t="shared" ref="I418:P418" si="290">I380*I$353</f>
        <v>0</v>
      </c>
      <c r="J418" s="232">
        <f t="shared" si="290"/>
        <v>0</v>
      </c>
      <c r="K418" s="232">
        <f t="shared" si="290"/>
        <v>0</v>
      </c>
      <c r="L418" s="232">
        <f t="shared" si="290"/>
        <v>0</v>
      </c>
      <c r="M418" s="232">
        <f t="shared" si="290"/>
        <v>0</v>
      </c>
      <c r="N418" s="232">
        <f t="shared" si="290"/>
        <v>0</v>
      </c>
      <c r="O418" s="232">
        <f t="shared" si="290"/>
        <v>0</v>
      </c>
      <c r="P418" s="232">
        <f t="shared" si="290"/>
        <v>0</v>
      </c>
    </row>
    <row r="419" spans="1:16" hidden="1" outlineLevel="2">
      <c r="C419" s="73" t="str">
        <v>SpareOfferA24</v>
      </c>
      <c r="D419" t="s">
        <v>301</v>
      </c>
      <c r="F419" s="234">
        <f t="shared" si="245"/>
        <v>0</v>
      </c>
      <c r="H419" s="232">
        <f t="shared" ref="H419" si="291">H381*H$353</f>
        <v>0</v>
      </c>
      <c r="I419" s="232">
        <f t="shared" ref="I419:P419" si="292">I381*I$353</f>
        <v>0</v>
      </c>
      <c r="J419" s="232">
        <f t="shared" si="292"/>
        <v>0</v>
      </c>
      <c r="K419" s="232">
        <f t="shared" si="292"/>
        <v>0</v>
      </c>
      <c r="L419" s="232">
        <f t="shared" si="292"/>
        <v>0</v>
      </c>
      <c r="M419" s="232">
        <f t="shared" si="292"/>
        <v>0</v>
      </c>
      <c r="N419" s="232">
        <f t="shared" si="292"/>
        <v>0</v>
      </c>
      <c r="O419" s="232">
        <f t="shared" si="292"/>
        <v>0</v>
      </c>
      <c r="P419" s="232">
        <f t="shared" si="292"/>
        <v>0</v>
      </c>
    </row>
    <row r="420" spans="1:16" hidden="1" outlineLevel="2">
      <c r="C420" s="73" t="str">
        <v>SpareOfferA25</v>
      </c>
      <c r="D420" t="s">
        <v>301</v>
      </c>
      <c r="F420" s="234">
        <f t="shared" si="245"/>
        <v>0</v>
      </c>
      <c r="H420" s="232">
        <f t="shared" ref="H420" si="293">H382*H$353</f>
        <v>0</v>
      </c>
      <c r="I420" s="232">
        <f t="shared" ref="I420:P420" si="294">I382*I$353</f>
        <v>0</v>
      </c>
      <c r="J420" s="232">
        <f t="shared" si="294"/>
        <v>0</v>
      </c>
      <c r="K420" s="232">
        <f t="shared" si="294"/>
        <v>0</v>
      </c>
      <c r="L420" s="232">
        <f t="shared" si="294"/>
        <v>0</v>
      </c>
      <c r="M420" s="232">
        <f t="shared" si="294"/>
        <v>0</v>
      </c>
      <c r="N420" s="232">
        <f t="shared" si="294"/>
        <v>0</v>
      </c>
      <c r="O420" s="232">
        <f t="shared" si="294"/>
        <v>0</v>
      </c>
      <c r="P420" s="232">
        <f t="shared" si="294"/>
        <v>0</v>
      </c>
    </row>
    <row r="421" spans="1:16" hidden="1" outlineLevel="2">
      <c r="C421" s="73" t="str">
        <v>SpareOfferA26</v>
      </c>
      <c r="D421" t="s">
        <v>301</v>
      </c>
      <c r="F421" s="234">
        <f t="shared" si="245"/>
        <v>0</v>
      </c>
      <c r="H421" s="232">
        <f t="shared" ref="H421" si="295">H383*H$353</f>
        <v>0</v>
      </c>
      <c r="I421" s="232">
        <f t="shared" ref="I421:P421" si="296">I383*I$353</f>
        <v>0</v>
      </c>
      <c r="J421" s="232">
        <f t="shared" si="296"/>
        <v>0</v>
      </c>
      <c r="K421" s="232">
        <f t="shared" si="296"/>
        <v>0</v>
      </c>
      <c r="L421" s="232">
        <f t="shared" si="296"/>
        <v>0</v>
      </c>
      <c r="M421" s="232">
        <f t="shared" si="296"/>
        <v>0</v>
      </c>
      <c r="N421" s="232">
        <f t="shared" si="296"/>
        <v>0</v>
      </c>
      <c r="O421" s="232">
        <f t="shared" si="296"/>
        <v>0</v>
      </c>
      <c r="P421" s="232">
        <f t="shared" si="296"/>
        <v>0</v>
      </c>
    </row>
    <row r="422" spans="1:16" hidden="1" outlineLevel="2">
      <c r="C422" s="73" t="str">
        <v>SpareOfferA27</v>
      </c>
      <c r="D422" t="s">
        <v>301</v>
      </c>
      <c r="F422" s="234">
        <f t="shared" si="245"/>
        <v>0</v>
      </c>
      <c r="H422" s="232">
        <f t="shared" ref="H422" si="297">H384*H$353</f>
        <v>0</v>
      </c>
      <c r="I422" s="232">
        <f t="shared" ref="I422:P422" si="298">I384*I$353</f>
        <v>0</v>
      </c>
      <c r="J422" s="232">
        <f t="shared" si="298"/>
        <v>0</v>
      </c>
      <c r="K422" s="232">
        <f t="shared" si="298"/>
        <v>0</v>
      </c>
      <c r="L422" s="232">
        <f t="shared" si="298"/>
        <v>0</v>
      </c>
      <c r="M422" s="232">
        <f t="shared" si="298"/>
        <v>0</v>
      </c>
      <c r="N422" s="232">
        <f t="shared" si="298"/>
        <v>0</v>
      </c>
      <c r="O422" s="232">
        <f t="shared" si="298"/>
        <v>0</v>
      </c>
      <c r="P422" s="232">
        <f t="shared" si="298"/>
        <v>0</v>
      </c>
    </row>
    <row r="423" spans="1:16" hidden="1" outlineLevel="2">
      <c r="C423" s="73" t="str">
        <v>SpareOfferA28</v>
      </c>
      <c r="D423" t="s">
        <v>301</v>
      </c>
      <c r="F423" s="234">
        <f t="shared" si="245"/>
        <v>0</v>
      </c>
      <c r="H423" s="232">
        <f t="shared" ref="H423" si="299">H385*H$353</f>
        <v>0</v>
      </c>
      <c r="I423" s="232">
        <f t="shared" ref="I423:P423" si="300">I385*I$353</f>
        <v>0</v>
      </c>
      <c r="J423" s="232">
        <f t="shared" si="300"/>
        <v>0</v>
      </c>
      <c r="K423" s="232">
        <f t="shared" si="300"/>
        <v>0</v>
      </c>
      <c r="L423" s="232">
        <f t="shared" si="300"/>
        <v>0</v>
      </c>
      <c r="M423" s="232">
        <f t="shared" si="300"/>
        <v>0</v>
      </c>
      <c r="N423" s="232">
        <f t="shared" si="300"/>
        <v>0</v>
      </c>
      <c r="O423" s="232">
        <f t="shared" si="300"/>
        <v>0</v>
      </c>
      <c r="P423" s="232">
        <f t="shared" si="300"/>
        <v>0</v>
      </c>
    </row>
    <row r="424" spans="1:16" hidden="1" outlineLevel="2">
      <c r="C424" s="73" t="str">
        <v>SpareOfferA29</v>
      </c>
      <c r="D424" t="s">
        <v>301</v>
      </c>
      <c r="F424" s="234">
        <f t="shared" si="245"/>
        <v>0</v>
      </c>
      <c r="H424" s="232">
        <f t="shared" ref="H424" si="301">H386*H$353</f>
        <v>0</v>
      </c>
      <c r="I424" s="232">
        <f t="shared" ref="I424:P424" si="302">I386*I$353</f>
        <v>0</v>
      </c>
      <c r="J424" s="232">
        <f t="shared" si="302"/>
        <v>0</v>
      </c>
      <c r="K424" s="232">
        <f t="shared" si="302"/>
        <v>0</v>
      </c>
      <c r="L424" s="232">
        <f t="shared" si="302"/>
        <v>0</v>
      </c>
      <c r="M424" s="232">
        <f t="shared" si="302"/>
        <v>0</v>
      </c>
      <c r="N424" s="232">
        <f t="shared" si="302"/>
        <v>0</v>
      </c>
      <c r="O424" s="232">
        <f t="shared" si="302"/>
        <v>0</v>
      </c>
      <c r="P424" s="232">
        <f t="shared" si="302"/>
        <v>0</v>
      </c>
    </row>
    <row r="425" spans="1:16" hidden="1" outlineLevel="2">
      <c r="C425" s="73" t="str">
        <v>SpareOfferA30</v>
      </c>
      <c r="D425" t="s">
        <v>301</v>
      </c>
      <c r="F425" s="234">
        <f t="shared" si="245"/>
        <v>0</v>
      </c>
      <c r="H425" s="232">
        <f t="shared" ref="H425" si="303">H387*H$353</f>
        <v>0</v>
      </c>
      <c r="I425" s="232">
        <f t="shared" ref="I425:P425" si="304">I387*I$353</f>
        <v>0</v>
      </c>
      <c r="J425" s="232">
        <f t="shared" si="304"/>
        <v>0</v>
      </c>
      <c r="K425" s="232">
        <f t="shared" si="304"/>
        <v>0</v>
      </c>
      <c r="L425" s="232">
        <f t="shared" si="304"/>
        <v>0</v>
      </c>
      <c r="M425" s="232">
        <f t="shared" si="304"/>
        <v>0</v>
      </c>
      <c r="N425" s="232">
        <f t="shared" si="304"/>
        <v>0</v>
      </c>
      <c r="O425" s="232">
        <f t="shared" si="304"/>
        <v>0</v>
      </c>
      <c r="P425" s="232">
        <f t="shared" si="304"/>
        <v>0</v>
      </c>
    </row>
    <row r="426" spans="1:16" hidden="1" outlineLevel="2">
      <c r="C426" s="73" t="str">
        <v>SpareOfferA31</v>
      </c>
      <c r="D426" t="s">
        <v>301</v>
      </c>
      <c r="F426" s="234">
        <f t="shared" si="245"/>
        <v>0</v>
      </c>
      <c r="H426" s="232">
        <f t="shared" ref="H426" si="305">H388*H$353</f>
        <v>0</v>
      </c>
      <c r="I426" s="232">
        <f t="shared" ref="I426:P426" si="306">I388*I$353</f>
        <v>0</v>
      </c>
      <c r="J426" s="232">
        <f t="shared" si="306"/>
        <v>0</v>
      </c>
      <c r="K426" s="232">
        <f t="shared" si="306"/>
        <v>0</v>
      </c>
      <c r="L426" s="232">
        <f t="shared" si="306"/>
        <v>0</v>
      </c>
      <c r="M426" s="232">
        <f t="shared" si="306"/>
        <v>0</v>
      </c>
      <c r="N426" s="232">
        <f t="shared" si="306"/>
        <v>0</v>
      </c>
      <c r="O426" s="232">
        <f t="shared" si="306"/>
        <v>0</v>
      </c>
      <c r="P426" s="232">
        <f t="shared" si="306"/>
        <v>0</v>
      </c>
    </row>
    <row r="427" spans="1:16" hidden="1" outlineLevel="2">
      <c r="C427" s="73" t="str">
        <v>SpareOfferA32</v>
      </c>
      <c r="D427" t="s">
        <v>301</v>
      </c>
      <c r="F427" s="234">
        <f t="shared" si="245"/>
        <v>0</v>
      </c>
      <c r="H427" s="232">
        <f t="shared" ref="H427" si="307">H389*H$353</f>
        <v>0</v>
      </c>
      <c r="I427" s="232">
        <f t="shared" ref="I427:P427" si="308">I389*I$353</f>
        <v>0</v>
      </c>
      <c r="J427" s="232">
        <f t="shared" si="308"/>
        <v>0</v>
      </c>
      <c r="K427" s="232">
        <f t="shared" si="308"/>
        <v>0</v>
      </c>
      <c r="L427" s="232">
        <f t="shared" si="308"/>
        <v>0</v>
      </c>
      <c r="M427" s="232">
        <f t="shared" si="308"/>
        <v>0</v>
      </c>
      <c r="N427" s="232">
        <f t="shared" si="308"/>
        <v>0</v>
      </c>
      <c r="O427" s="232">
        <f t="shared" si="308"/>
        <v>0</v>
      </c>
      <c r="P427" s="232">
        <f t="shared" si="308"/>
        <v>0</v>
      </c>
    </row>
    <row r="428" spans="1:16" hidden="1" outlineLevel="2">
      <c r="C428" s="73" t="str">
        <v>SpareOfferA33</v>
      </c>
      <c r="D428" t="s">
        <v>301</v>
      </c>
      <c r="F428" s="234">
        <f t="shared" si="245"/>
        <v>0</v>
      </c>
      <c r="H428" s="232">
        <f t="shared" ref="H428" si="309">H390*H$353</f>
        <v>0</v>
      </c>
      <c r="I428" s="232">
        <f t="shared" ref="I428:P428" si="310">I390*I$353</f>
        <v>0</v>
      </c>
      <c r="J428" s="232">
        <f t="shared" si="310"/>
        <v>0</v>
      </c>
      <c r="K428" s="232">
        <f t="shared" si="310"/>
        <v>0</v>
      </c>
      <c r="L428" s="232">
        <f t="shared" si="310"/>
        <v>0</v>
      </c>
      <c r="M428" s="232">
        <f t="shared" si="310"/>
        <v>0</v>
      </c>
      <c r="N428" s="232">
        <f t="shared" si="310"/>
        <v>0</v>
      </c>
      <c r="O428" s="232">
        <f t="shared" si="310"/>
        <v>0</v>
      </c>
      <c r="P428" s="232">
        <f t="shared" si="310"/>
        <v>0</v>
      </c>
    </row>
    <row r="429" spans="1:16" hidden="1" outlineLevel="2">
      <c r="C429" s="73" t="str">
        <v>SpareOfferA34</v>
      </c>
      <c r="D429" t="s">
        <v>301</v>
      </c>
      <c r="F429" s="234">
        <f t="shared" si="245"/>
        <v>0</v>
      </c>
      <c r="H429" s="232">
        <f t="shared" ref="H429" si="311">H391*H$353</f>
        <v>0</v>
      </c>
      <c r="I429" s="232">
        <f t="shared" ref="I429:P429" si="312">I391*I$353</f>
        <v>0</v>
      </c>
      <c r="J429" s="232">
        <f t="shared" si="312"/>
        <v>0</v>
      </c>
      <c r="K429" s="232">
        <f t="shared" si="312"/>
        <v>0</v>
      </c>
      <c r="L429" s="232">
        <f t="shared" si="312"/>
        <v>0</v>
      </c>
      <c r="M429" s="232">
        <f t="shared" si="312"/>
        <v>0</v>
      </c>
      <c r="N429" s="232">
        <f t="shared" si="312"/>
        <v>0</v>
      </c>
      <c r="O429" s="232">
        <f t="shared" si="312"/>
        <v>0</v>
      </c>
      <c r="P429" s="232">
        <f t="shared" si="312"/>
        <v>0</v>
      </c>
    </row>
    <row r="430" spans="1:16" outlineLevel="1" collapsed="1">
      <c r="C430" s="73" t="str">
        <v>SpareOfferA35</v>
      </c>
      <c r="D430" t="s">
        <v>301</v>
      </c>
      <c r="F430" s="234">
        <f>SUM(H430:P430)</f>
        <v>0</v>
      </c>
      <c r="H430" s="232">
        <f t="shared" ref="H430" si="313">H392*H$353</f>
        <v>0</v>
      </c>
      <c r="I430" s="232">
        <f t="shared" ref="I430:P430" si="314">I392*I$353</f>
        <v>0</v>
      </c>
      <c r="J430" s="232">
        <f t="shared" si="314"/>
        <v>0</v>
      </c>
      <c r="K430" s="232">
        <f t="shared" si="314"/>
        <v>0</v>
      </c>
      <c r="L430" s="232">
        <f t="shared" si="314"/>
        <v>0</v>
      </c>
      <c r="M430" s="232">
        <f t="shared" si="314"/>
        <v>0</v>
      </c>
      <c r="N430" s="232">
        <f t="shared" si="314"/>
        <v>0</v>
      </c>
      <c r="O430" s="232">
        <f t="shared" si="314"/>
        <v>0</v>
      </c>
      <c r="P430" s="232">
        <f t="shared" si="314"/>
        <v>0</v>
      </c>
    </row>
    <row r="431" spans="1:16" ht="12">
      <c r="F431" s="43"/>
    </row>
    <row r="432" spans="1:16" s="220" customFormat="1">
      <c r="A432" s="220">
        <v>2</v>
      </c>
      <c r="B432" s="221" t="str">
        <f>INDEX(segments,A432)</f>
        <v>Business</v>
      </c>
      <c r="C432" s="207"/>
    </row>
    <row r="433" spans="2:16" outlineLevel="1"/>
    <row r="434" spans="2:16" ht="34.5" outlineLevel="1">
      <c r="B434" s="91" t="s">
        <v>341</v>
      </c>
      <c r="H434" s="1" t="str">
        <f t="array" ref="H434:P434">options.selected.roaming.detailed</f>
        <v>Roaming voice (EEA)</v>
      </c>
      <c r="I434" s="1" t="str">
        <v>Roaming voice (non-EEA)</v>
      </c>
      <c r="J434" s="1" t="str">
        <v>Roaming CF (EEA)</v>
      </c>
      <c r="K434" s="1" t="str">
        <v>Roaming CF (non-EEA)</v>
      </c>
      <c r="L434" s="1" t="str">
        <v>Roaming messages (EEA)</v>
      </c>
      <c r="M434" s="1" t="str">
        <v>Roaming messages (non-EEA)</v>
      </c>
      <c r="N434" s="1" t="str">
        <v>Roaming data (EEA)</v>
      </c>
      <c r="O434" s="1" t="str">
        <v>Roaming data (non-EEA)</v>
      </c>
      <c r="P434" s="1" t="str">
        <v>Spare 1</v>
      </c>
    </row>
    <row r="435" spans="2:16" outlineLevel="1">
      <c r="C435" t="s">
        <v>341</v>
      </c>
      <c r="D435" t="s">
        <v>338</v>
      </c>
      <c r="H435" s="239">
        <f t="array" ref="H435:P435">Roaming.IC</f>
        <v>0</v>
      </c>
      <c r="I435" s="239">
        <v>0</v>
      </c>
      <c r="J435" s="239">
        <v>0</v>
      </c>
      <c r="K435" s="239">
        <v>0</v>
      </c>
      <c r="L435" s="239">
        <v>0</v>
      </c>
      <c r="M435" s="239">
        <v>0</v>
      </c>
      <c r="N435" s="239">
        <v>0</v>
      </c>
      <c r="O435" s="239">
        <v>0</v>
      </c>
      <c r="P435" s="239">
        <v>0</v>
      </c>
    </row>
    <row r="436" spans="2:16" outlineLevel="1"/>
    <row r="437" spans="2:16" outlineLevel="1">
      <c r="H437">
        <f t="shared" ref="H437:P437" si="315">MATCH(H438,demand.descriptions.short,0)</f>
        <v>10</v>
      </c>
      <c r="I437">
        <f t="shared" si="315"/>
        <v>11</v>
      </c>
      <c r="J437">
        <f t="shared" si="315"/>
        <v>12</v>
      </c>
      <c r="K437">
        <f t="shared" si="315"/>
        <v>13</v>
      </c>
      <c r="L437">
        <f t="shared" si="315"/>
        <v>15</v>
      </c>
      <c r="M437">
        <f t="shared" si="315"/>
        <v>16</v>
      </c>
      <c r="N437">
        <f t="shared" si="315"/>
        <v>18</v>
      </c>
      <c r="O437">
        <f t="shared" si="315"/>
        <v>19</v>
      </c>
      <c r="P437">
        <f t="shared" si="315"/>
        <v>23</v>
      </c>
    </row>
    <row r="438" spans="2:16" ht="34.5" outlineLevel="1">
      <c r="B438" s="91" t="s">
        <v>194</v>
      </c>
      <c r="F438" s="119" t="s">
        <v>223</v>
      </c>
      <c r="H438" s="1" t="str">
        <f t="array" ref="H438:P438">options.selected.roaming.detailed</f>
        <v>Roaming voice (EEA)</v>
      </c>
      <c r="I438" s="1" t="str">
        <v>Roaming voice (non-EEA)</v>
      </c>
      <c r="J438" s="1" t="str">
        <v>Roaming CF (EEA)</v>
      </c>
      <c r="K438" s="1" t="str">
        <v>Roaming CF (non-EEA)</v>
      </c>
      <c r="L438" s="1" t="str">
        <v>Roaming messages (EEA)</v>
      </c>
      <c r="M438" s="1" t="str">
        <v>Roaming messages (non-EEA)</v>
      </c>
      <c r="N438" s="1" t="str">
        <v>Roaming data (EEA)</v>
      </c>
      <c r="O438" s="1" t="str">
        <v>Roaming data (non-EEA)</v>
      </c>
      <c r="P438" s="1" t="str">
        <v>Spare 1</v>
      </c>
    </row>
    <row r="439" spans="2:16" outlineLevel="1">
      <c r="C439" s="91" t="s">
        <v>222</v>
      </c>
      <c r="D439" t="s">
        <v>174</v>
      </c>
      <c r="H439" s="181">
        <f>SUMPRODUCT(H440:H474,$F440:$F474)</f>
        <v>0</v>
      </c>
      <c r="I439" s="181">
        <f t="shared" ref="I439:P439" si="316">SUMPRODUCT(I440:I474,$F440:$F474)</f>
        <v>0</v>
      </c>
      <c r="J439" s="181">
        <f t="shared" si="316"/>
        <v>0</v>
      </c>
      <c r="K439" s="181">
        <f t="shared" si="316"/>
        <v>0</v>
      </c>
      <c r="L439" s="181">
        <f t="shared" si="316"/>
        <v>0</v>
      </c>
      <c r="M439" s="181">
        <f t="shared" si="316"/>
        <v>0</v>
      </c>
      <c r="N439" s="181">
        <f t="shared" si="316"/>
        <v>0</v>
      </c>
      <c r="O439" s="181">
        <f t="shared" si="316"/>
        <v>0</v>
      </c>
      <c r="P439" s="181">
        <f t="shared" si="316"/>
        <v>0</v>
      </c>
    </row>
    <row r="440" spans="2:16" outlineLevel="1">
      <c r="B440">
        <f t="shared" ref="B440:B474" si="317">MATCH(C440,offers.segment.all,0)</f>
        <v>36</v>
      </c>
      <c r="C440" s="73" t="str">
        <f t="array" ref="C440:C474">offers.segment.2</f>
        <v>SpareOfferB1</v>
      </c>
      <c r="D440" t="s">
        <v>174</v>
      </c>
      <c r="F440" s="87">
        <f t="array" ref="F440:F474">subscription.split.segment.2</f>
        <v>0</v>
      </c>
      <c r="H440" s="230">
        <f t="shared" ref="H440:P449" si="318">INDEX(per.sub.volumes.by.demand.descriptions,$B440,H$437)</f>
        <v>0</v>
      </c>
      <c r="I440" s="230">
        <f t="shared" si="318"/>
        <v>0</v>
      </c>
      <c r="J440" s="230">
        <f t="shared" si="318"/>
        <v>0</v>
      </c>
      <c r="K440" s="230">
        <f t="shared" si="318"/>
        <v>0</v>
      </c>
      <c r="L440" s="230">
        <f t="shared" si="318"/>
        <v>0</v>
      </c>
      <c r="M440" s="230">
        <f t="shared" si="318"/>
        <v>0</v>
      </c>
      <c r="N440" s="230">
        <f t="shared" si="318"/>
        <v>0</v>
      </c>
      <c r="O440" s="230">
        <f t="shared" si="318"/>
        <v>0</v>
      </c>
      <c r="P440" s="230">
        <f t="shared" si="318"/>
        <v>0</v>
      </c>
    </row>
    <row r="441" spans="2:16" hidden="1" outlineLevel="2">
      <c r="B441">
        <f t="shared" si="317"/>
        <v>37</v>
      </c>
      <c r="C441" s="73" t="str">
        <v>SpareOfferB2</v>
      </c>
      <c r="D441" t="s">
        <v>174</v>
      </c>
      <c r="F441" s="87">
        <v>0</v>
      </c>
      <c r="H441" s="230">
        <f t="shared" si="318"/>
        <v>0</v>
      </c>
      <c r="I441" s="230">
        <f t="shared" si="318"/>
        <v>0</v>
      </c>
      <c r="J441" s="230">
        <f t="shared" si="318"/>
        <v>0</v>
      </c>
      <c r="K441" s="230">
        <f t="shared" si="318"/>
        <v>0</v>
      </c>
      <c r="L441" s="230">
        <f t="shared" si="318"/>
        <v>0</v>
      </c>
      <c r="M441" s="230">
        <f t="shared" si="318"/>
        <v>0</v>
      </c>
      <c r="N441" s="230">
        <f t="shared" si="318"/>
        <v>0</v>
      </c>
      <c r="O441" s="230">
        <f t="shared" si="318"/>
        <v>0</v>
      </c>
      <c r="P441" s="230">
        <f t="shared" si="318"/>
        <v>0</v>
      </c>
    </row>
    <row r="442" spans="2:16" hidden="1" outlineLevel="2">
      <c r="B442">
        <f t="shared" si="317"/>
        <v>38</v>
      </c>
      <c r="C442" s="73" t="str">
        <v>SpareOfferB3</v>
      </c>
      <c r="D442" t="s">
        <v>174</v>
      </c>
      <c r="F442" s="87">
        <v>0</v>
      </c>
      <c r="H442" s="230">
        <f t="shared" si="318"/>
        <v>0</v>
      </c>
      <c r="I442" s="230">
        <f t="shared" si="318"/>
        <v>0</v>
      </c>
      <c r="J442" s="230">
        <f t="shared" si="318"/>
        <v>0</v>
      </c>
      <c r="K442" s="230">
        <f t="shared" si="318"/>
        <v>0</v>
      </c>
      <c r="L442" s="230">
        <f t="shared" si="318"/>
        <v>0</v>
      </c>
      <c r="M442" s="230">
        <f t="shared" si="318"/>
        <v>0</v>
      </c>
      <c r="N442" s="230">
        <f t="shared" si="318"/>
        <v>0</v>
      </c>
      <c r="O442" s="230">
        <f t="shared" si="318"/>
        <v>0</v>
      </c>
      <c r="P442" s="230">
        <f t="shared" si="318"/>
        <v>0</v>
      </c>
    </row>
    <row r="443" spans="2:16" hidden="1" outlineLevel="2">
      <c r="B443">
        <f t="shared" si="317"/>
        <v>39</v>
      </c>
      <c r="C443" s="73" t="str">
        <v>SpareOfferB4</v>
      </c>
      <c r="D443" t="s">
        <v>174</v>
      </c>
      <c r="F443" s="87">
        <v>0</v>
      </c>
      <c r="H443" s="230">
        <f t="shared" si="318"/>
        <v>0</v>
      </c>
      <c r="I443" s="230">
        <f t="shared" si="318"/>
        <v>0</v>
      </c>
      <c r="J443" s="230">
        <f t="shared" si="318"/>
        <v>0</v>
      </c>
      <c r="K443" s="230">
        <f t="shared" si="318"/>
        <v>0</v>
      </c>
      <c r="L443" s="230">
        <f t="shared" si="318"/>
        <v>0</v>
      </c>
      <c r="M443" s="230">
        <f t="shared" si="318"/>
        <v>0</v>
      </c>
      <c r="N443" s="230">
        <f t="shared" si="318"/>
        <v>0</v>
      </c>
      <c r="O443" s="230">
        <f t="shared" si="318"/>
        <v>0</v>
      </c>
      <c r="P443" s="230">
        <f t="shared" si="318"/>
        <v>0</v>
      </c>
    </row>
    <row r="444" spans="2:16" hidden="1" outlineLevel="2">
      <c r="B444">
        <f t="shared" si="317"/>
        <v>40</v>
      </c>
      <c r="C444" s="73" t="str">
        <v>SpareOfferB5</v>
      </c>
      <c r="D444" t="s">
        <v>174</v>
      </c>
      <c r="F444" s="87">
        <v>0</v>
      </c>
      <c r="H444" s="230">
        <f t="shared" si="318"/>
        <v>0</v>
      </c>
      <c r="I444" s="230">
        <f t="shared" si="318"/>
        <v>0</v>
      </c>
      <c r="J444" s="230">
        <f t="shared" si="318"/>
        <v>0</v>
      </c>
      <c r="K444" s="230">
        <f t="shared" si="318"/>
        <v>0</v>
      </c>
      <c r="L444" s="230">
        <f t="shared" si="318"/>
        <v>0</v>
      </c>
      <c r="M444" s="230">
        <f t="shared" si="318"/>
        <v>0</v>
      </c>
      <c r="N444" s="230">
        <f t="shared" si="318"/>
        <v>0</v>
      </c>
      <c r="O444" s="230">
        <f t="shared" si="318"/>
        <v>0</v>
      </c>
      <c r="P444" s="230">
        <f t="shared" si="318"/>
        <v>0</v>
      </c>
    </row>
    <row r="445" spans="2:16" hidden="1" outlineLevel="2">
      <c r="B445">
        <f t="shared" si="317"/>
        <v>41</v>
      </c>
      <c r="C445" s="73" t="str">
        <v>SpareOfferB6</v>
      </c>
      <c r="D445" t="s">
        <v>174</v>
      </c>
      <c r="F445" s="87">
        <v>0</v>
      </c>
      <c r="H445" s="230">
        <f t="shared" si="318"/>
        <v>0</v>
      </c>
      <c r="I445" s="230">
        <f t="shared" si="318"/>
        <v>0</v>
      </c>
      <c r="J445" s="230">
        <f t="shared" si="318"/>
        <v>0</v>
      </c>
      <c r="K445" s="230">
        <f t="shared" si="318"/>
        <v>0</v>
      </c>
      <c r="L445" s="230">
        <f t="shared" si="318"/>
        <v>0</v>
      </c>
      <c r="M445" s="230">
        <f t="shared" si="318"/>
        <v>0</v>
      </c>
      <c r="N445" s="230">
        <f t="shared" si="318"/>
        <v>0</v>
      </c>
      <c r="O445" s="230">
        <f t="shared" si="318"/>
        <v>0</v>
      </c>
      <c r="P445" s="230">
        <f t="shared" si="318"/>
        <v>0</v>
      </c>
    </row>
    <row r="446" spans="2:16" hidden="1" outlineLevel="2">
      <c r="B446">
        <f t="shared" si="317"/>
        <v>42</v>
      </c>
      <c r="C446" s="73" t="str">
        <v>SpareOfferB7</v>
      </c>
      <c r="D446" t="s">
        <v>174</v>
      </c>
      <c r="F446" s="87">
        <v>0</v>
      </c>
      <c r="H446" s="230">
        <f t="shared" si="318"/>
        <v>0</v>
      </c>
      <c r="I446" s="230">
        <f t="shared" si="318"/>
        <v>0</v>
      </c>
      <c r="J446" s="230">
        <f t="shared" si="318"/>
        <v>0</v>
      </c>
      <c r="K446" s="230">
        <f t="shared" si="318"/>
        <v>0</v>
      </c>
      <c r="L446" s="230">
        <f t="shared" si="318"/>
        <v>0</v>
      </c>
      <c r="M446" s="230">
        <f t="shared" si="318"/>
        <v>0</v>
      </c>
      <c r="N446" s="230">
        <f t="shared" si="318"/>
        <v>0</v>
      </c>
      <c r="O446" s="230">
        <f t="shared" si="318"/>
        <v>0</v>
      </c>
      <c r="P446" s="230">
        <f t="shared" si="318"/>
        <v>0</v>
      </c>
    </row>
    <row r="447" spans="2:16" hidden="1" outlineLevel="2">
      <c r="B447">
        <f t="shared" si="317"/>
        <v>43</v>
      </c>
      <c r="C447" s="73" t="str">
        <v>SpareOfferB8</v>
      </c>
      <c r="D447" t="s">
        <v>174</v>
      </c>
      <c r="F447" s="87">
        <v>0</v>
      </c>
      <c r="H447" s="230">
        <f t="shared" si="318"/>
        <v>0</v>
      </c>
      <c r="I447" s="230">
        <f t="shared" si="318"/>
        <v>0</v>
      </c>
      <c r="J447" s="230">
        <f t="shared" si="318"/>
        <v>0</v>
      </c>
      <c r="K447" s="230">
        <f t="shared" si="318"/>
        <v>0</v>
      </c>
      <c r="L447" s="230">
        <f t="shared" si="318"/>
        <v>0</v>
      </c>
      <c r="M447" s="230">
        <f t="shared" si="318"/>
        <v>0</v>
      </c>
      <c r="N447" s="230">
        <f t="shared" si="318"/>
        <v>0</v>
      </c>
      <c r="O447" s="230">
        <f t="shared" si="318"/>
        <v>0</v>
      </c>
      <c r="P447" s="230">
        <f t="shared" si="318"/>
        <v>0</v>
      </c>
    </row>
    <row r="448" spans="2:16" hidden="1" outlineLevel="2">
      <c r="B448">
        <f t="shared" si="317"/>
        <v>44</v>
      </c>
      <c r="C448" s="73" t="str">
        <v>SpareOfferB9</v>
      </c>
      <c r="D448" t="s">
        <v>174</v>
      </c>
      <c r="F448" s="87">
        <v>0</v>
      </c>
      <c r="H448" s="230">
        <f t="shared" si="318"/>
        <v>0</v>
      </c>
      <c r="I448" s="230">
        <f t="shared" si="318"/>
        <v>0</v>
      </c>
      <c r="J448" s="230">
        <f t="shared" si="318"/>
        <v>0</v>
      </c>
      <c r="K448" s="230">
        <f t="shared" si="318"/>
        <v>0</v>
      </c>
      <c r="L448" s="230">
        <f t="shared" si="318"/>
        <v>0</v>
      </c>
      <c r="M448" s="230">
        <f t="shared" si="318"/>
        <v>0</v>
      </c>
      <c r="N448" s="230">
        <f t="shared" si="318"/>
        <v>0</v>
      </c>
      <c r="O448" s="230">
        <f t="shared" si="318"/>
        <v>0</v>
      </c>
      <c r="P448" s="230">
        <f t="shared" si="318"/>
        <v>0</v>
      </c>
    </row>
    <row r="449" spans="2:16" hidden="1" outlineLevel="2">
      <c r="B449">
        <f t="shared" si="317"/>
        <v>45</v>
      </c>
      <c r="C449" s="73" t="str">
        <v>SpareOfferB10</v>
      </c>
      <c r="D449" t="s">
        <v>174</v>
      </c>
      <c r="F449" s="87">
        <v>0</v>
      </c>
      <c r="H449" s="230">
        <f t="shared" si="318"/>
        <v>0</v>
      </c>
      <c r="I449" s="230">
        <f t="shared" si="318"/>
        <v>0</v>
      </c>
      <c r="J449" s="230">
        <f t="shared" si="318"/>
        <v>0</v>
      </c>
      <c r="K449" s="230">
        <f t="shared" si="318"/>
        <v>0</v>
      </c>
      <c r="L449" s="230">
        <f t="shared" si="318"/>
        <v>0</v>
      </c>
      <c r="M449" s="230">
        <f t="shared" si="318"/>
        <v>0</v>
      </c>
      <c r="N449" s="230">
        <f t="shared" si="318"/>
        <v>0</v>
      </c>
      <c r="O449" s="230">
        <f t="shared" si="318"/>
        <v>0</v>
      </c>
      <c r="P449" s="230">
        <f t="shared" si="318"/>
        <v>0</v>
      </c>
    </row>
    <row r="450" spans="2:16" hidden="1" outlineLevel="2">
      <c r="B450">
        <f t="shared" si="317"/>
        <v>46</v>
      </c>
      <c r="C450" s="73" t="str">
        <v>SpareOfferB11</v>
      </c>
      <c r="D450" t="s">
        <v>174</v>
      </c>
      <c r="F450" s="87">
        <v>0</v>
      </c>
      <c r="H450" s="230">
        <f t="shared" ref="H450:P459" si="319">INDEX(per.sub.volumes.by.demand.descriptions,$B450,H$437)</f>
        <v>0</v>
      </c>
      <c r="I450" s="230">
        <f t="shared" si="319"/>
        <v>0</v>
      </c>
      <c r="J450" s="230">
        <f t="shared" si="319"/>
        <v>0</v>
      </c>
      <c r="K450" s="230">
        <f t="shared" si="319"/>
        <v>0</v>
      </c>
      <c r="L450" s="230">
        <f t="shared" si="319"/>
        <v>0</v>
      </c>
      <c r="M450" s="230">
        <f t="shared" si="319"/>
        <v>0</v>
      </c>
      <c r="N450" s="230">
        <f t="shared" si="319"/>
        <v>0</v>
      </c>
      <c r="O450" s="230">
        <f t="shared" si="319"/>
        <v>0</v>
      </c>
      <c r="P450" s="230">
        <f t="shared" si="319"/>
        <v>0</v>
      </c>
    </row>
    <row r="451" spans="2:16" hidden="1" outlineLevel="2">
      <c r="B451">
        <f t="shared" si="317"/>
        <v>47</v>
      </c>
      <c r="C451" s="73" t="str">
        <v>SpareOfferB12</v>
      </c>
      <c r="D451" t="s">
        <v>174</v>
      </c>
      <c r="F451" s="87">
        <v>0</v>
      </c>
      <c r="H451" s="230">
        <f t="shared" si="319"/>
        <v>0</v>
      </c>
      <c r="I451" s="230">
        <f t="shared" si="319"/>
        <v>0</v>
      </c>
      <c r="J451" s="230">
        <f t="shared" si="319"/>
        <v>0</v>
      </c>
      <c r="K451" s="230">
        <f t="shared" si="319"/>
        <v>0</v>
      </c>
      <c r="L451" s="230">
        <f t="shared" si="319"/>
        <v>0</v>
      </c>
      <c r="M451" s="230">
        <f t="shared" si="319"/>
        <v>0</v>
      </c>
      <c r="N451" s="230">
        <f t="shared" si="319"/>
        <v>0</v>
      </c>
      <c r="O451" s="230">
        <f t="shared" si="319"/>
        <v>0</v>
      </c>
      <c r="P451" s="230">
        <f t="shared" si="319"/>
        <v>0</v>
      </c>
    </row>
    <row r="452" spans="2:16" hidden="1" outlineLevel="2">
      <c r="B452">
        <f t="shared" si="317"/>
        <v>48</v>
      </c>
      <c r="C452" s="73" t="str">
        <v>SpareOfferB13</v>
      </c>
      <c r="D452" t="s">
        <v>174</v>
      </c>
      <c r="F452" s="87">
        <v>0</v>
      </c>
      <c r="H452" s="230">
        <f t="shared" si="319"/>
        <v>0</v>
      </c>
      <c r="I452" s="230">
        <f t="shared" si="319"/>
        <v>0</v>
      </c>
      <c r="J452" s="230">
        <f t="shared" si="319"/>
        <v>0</v>
      </c>
      <c r="K452" s="230">
        <f t="shared" si="319"/>
        <v>0</v>
      </c>
      <c r="L452" s="230">
        <f t="shared" si="319"/>
        <v>0</v>
      </c>
      <c r="M452" s="230">
        <f t="shared" si="319"/>
        <v>0</v>
      </c>
      <c r="N452" s="230">
        <f t="shared" si="319"/>
        <v>0</v>
      </c>
      <c r="O452" s="230">
        <f t="shared" si="319"/>
        <v>0</v>
      </c>
      <c r="P452" s="230">
        <f t="shared" si="319"/>
        <v>0</v>
      </c>
    </row>
    <row r="453" spans="2:16" hidden="1" outlineLevel="2">
      <c r="B453">
        <f t="shared" si="317"/>
        <v>49</v>
      </c>
      <c r="C453" s="73" t="str">
        <v>SpareOfferB14</v>
      </c>
      <c r="D453" t="s">
        <v>174</v>
      </c>
      <c r="F453" s="87">
        <v>0</v>
      </c>
      <c r="H453" s="230">
        <f t="shared" si="319"/>
        <v>0</v>
      </c>
      <c r="I453" s="230">
        <f t="shared" si="319"/>
        <v>0</v>
      </c>
      <c r="J453" s="230">
        <f t="shared" si="319"/>
        <v>0</v>
      </c>
      <c r="K453" s="230">
        <f t="shared" si="319"/>
        <v>0</v>
      </c>
      <c r="L453" s="230">
        <f t="shared" si="319"/>
        <v>0</v>
      </c>
      <c r="M453" s="230">
        <f t="shared" si="319"/>
        <v>0</v>
      </c>
      <c r="N453" s="230">
        <f t="shared" si="319"/>
        <v>0</v>
      </c>
      <c r="O453" s="230">
        <f t="shared" si="319"/>
        <v>0</v>
      </c>
      <c r="P453" s="230">
        <f t="shared" si="319"/>
        <v>0</v>
      </c>
    </row>
    <row r="454" spans="2:16" hidden="1" outlineLevel="2">
      <c r="B454">
        <f t="shared" si="317"/>
        <v>50</v>
      </c>
      <c r="C454" s="73" t="str">
        <v>SpareOfferB15</v>
      </c>
      <c r="D454" t="s">
        <v>174</v>
      </c>
      <c r="F454" s="87">
        <v>0</v>
      </c>
      <c r="H454" s="230">
        <f t="shared" si="319"/>
        <v>0</v>
      </c>
      <c r="I454" s="230">
        <f t="shared" si="319"/>
        <v>0</v>
      </c>
      <c r="J454" s="230">
        <f t="shared" si="319"/>
        <v>0</v>
      </c>
      <c r="K454" s="230">
        <f t="shared" si="319"/>
        <v>0</v>
      </c>
      <c r="L454" s="230">
        <f t="shared" si="319"/>
        <v>0</v>
      </c>
      <c r="M454" s="230">
        <f t="shared" si="319"/>
        <v>0</v>
      </c>
      <c r="N454" s="230">
        <f t="shared" si="319"/>
        <v>0</v>
      </c>
      <c r="O454" s="230">
        <f t="shared" si="319"/>
        <v>0</v>
      </c>
      <c r="P454" s="230">
        <f t="shared" si="319"/>
        <v>0</v>
      </c>
    </row>
    <row r="455" spans="2:16" hidden="1" outlineLevel="2">
      <c r="B455">
        <f t="shared" si="317"/>
        <v>51</v>
      </c>
      <c r="C455" s="73" t="str">
        <v>SpareOfferB16</v>
      </c>
      <c r="D455" t="s">
        <v>174</v>
      </c>
      <c r="F455" s="87">
        <v>0</v>
      </c>
      <c r="H455" s="230">
        <f t="shared" si="319"/>
        <v>0</v>
      </c>
      <c r="I455" s="230">
        <f t="shared" si="319"/>
        <v>0</v>
      </c>
      <c r="J455" s="230">
        <f t="shared" si="319"/>
        <v>0</v>
      </c>
      <c r="K455" s="230">
        <f t="shared" si="319"/>
        <v>0</v>
      </c>
      <c r="L455" s="230">
        <f t="shared" si="319"/>
        <v>0</v>
      </c>
      <c r="M455" s="230">
        <f t="shared" si="319"/>
        <v>0</v>
      </c>
      <c r="N455" s="230">
        <f t="shared" si="319"/>
        <v>0</v>
      </c>
      <c r="O455" s="230">
        <f t="shared" si="319"/>
        <v>0</v>
      </c>
      <c r="P455" s="230">
        <f t="shared" si="319"/>
        <v>0</v>
      </c>
    </row>
    <row r="456" spans="2:16" hidden="1" outlineLevel="2">
      <c r="B456">
        <f t="shared" si="317"/>
        <v>52</v>
      </c>
      <c r="C456" s="73" t="str">
        <v>SpareOfferB17</v>
      </c>
      <c r="D456" t="s">
        <v>174</v>
      </c>
      <c r="F456" s="87">
        <v>0</v>
      </c>
      <c r="H456" s="230">
        <f t="shared" si="319"/>
        <v>0</v>
      </c>
      <c r="I456" s="230">
        <f t="shared" si="319"/>
        <v>0</v>
      </c>
      <c r="J456" s="230">
        <f t="shared" si="319"/>
        <v>0</v>
      </c>
      <c r="K456" s="230">
        <f t="shared" si="319"/>
        <v>0</v>
      </c>
      <c r="L456" s="230">
        <f t="shared" si="319"/>
        <v>0</v>
      </c>
      <c r="M456" s="230">
        <f t="shared" si="319"/>
        <v>0</v>
      </c>
      <c r="N456" s="230">
        <f t="shared" si="319"/>
        <v>0</v>
      </c>
      <c r="O456" s="230">
        <f t="shared" si="319"/>
        <v>0</v>
      </c>
      <c r="P456" s="230">
        <f t="shared" si="319"/>
        <v>0</v>
      </c>
    </row>
    <row r="457" spans="2:16" hidden="1" outlineLevel="2">
      <c r="B457">
        <f t="shared" si="317"/>
        <v>53</v>
      </c>
      <c r="C457" s="73" t="str">
        <v>SpareOfferB18</v>
      </c>
      <c r="D457" t="s">
        <v>174</v>
      </c>
      <c r="F457" s="87">
        <v>0</v>
      </c>
      <c r="H457" s="230">
        <f t="shared" si="319"/>
        <v>0</v>
      </c>
      <c r="I457" s="230">
        <f t="shared" si="319"/>
        <v>0</v>
      </c>
      <c r="J457" s="230">
        <f t="shared" si="319"/>
        <v>0</v>
      </c>
      <c r="K457" s="230">
        <f t="shared" si="319"/>
        <v>0</v>
      </c>
      <c r="L457" s="230">
        <f t="shared" si="319"/>
        <v>0</v>
      </c>
      <c r="M457" s="230">
        <f t="shared" si="319"/>
        <v>0</v>
      </c>
      <c r="N457" s="230">
        <f t="shared" si="319"/>
        <v>0</v>
      </c>
      <c r="O457" s="230">
        <f t="shared" si="319"/>
        <v>0</v>
      </c>
      <c r="P457" s="230">
        <f t="shared" si="319"/>
        <v>0</v>
      </c>
    </row>
    <row r="458" spans="2:16" hidden="1" outlineLevel="2">
      <c r="B458">
        <f t="shared" si="317"/>
        <v>54</v>
      </c>
      <c r="C458" s="73" t="str">
        <v>SpareOfferB19</v>
      </c>
      <c r="D458" t="s">
        <v>174</v>
      </c>
      <c r="F458" s="87">
        <v>0</v>
      </c>
      <c r="H458" s="230">
        <f t="shared" si="319"/>
        <v>0</v>
      </c>
      <c r="I458" s="230">
        <f t="shared" si="319"/>
        <v>0</v>
      </c>
      <c r="J458" s="230">
        <f t="shared" si="319"/>
        <v>0</v>
      </c>
      <c r="K458" s="230">
        <f t="shared" si="319"/>
        <v>0</v>
      </c>
      <c r="L458" s="230">
        <f t="shared" si="319"/>
        <v>0</v>
      </c>
      <c r="M458" s="230">
        <f t="shared" si="319"/>
        <v>0</v>
      </c>
      <c r="N458" s="230">
        <f t="shared" si="319"/>
        <v>0</v>
      </c>
      <c r="O458" s="230">
        <f t="shared" si="319"/>
        <v>0</v>
      </c>
      <c r="P458" s="230">
        <f t="shared" si="319"/>
        <v>0</v>
      </c>
    </row>
    <row r="459" spans="2:16" hidden="1" outlineLevel="2">
      <c r="B459">
        <f t="shared" si="317"/>
        <v>55</v>
      </c>
      <c r="C459" s="73" t="str">
        <v>SpareOfferB20</v>
      </c>
      <c r="D459" t="s">
        <v>174</v>
      </c>
      <c r="F459" s="87">
        <v>0</v>
      </c>
      <c r="H459" s="230">
        <f t="shared" si="319"/>
        <v>0</v>
      </c>
      <c r="I459" s="230">
        <f t="shared" si="319"/>
        <v>0</v>
      </c>
      <c r="J459" s="230">
        <f t="shared" si="319"/>
        <v>0</v>
      </c>
      <c r="K459" s="230">
        <f t="shared" si="319"/>
        <v>0</v>
      </c>
      <c r="L459" s="230">
        <f t="shared" si="319"/>
        <v>0</v>
      </c>
      <c r="M459" s="230">
        <f t="shared" si="319"/>
        <v>0</v>
      </c>
      <c r="N459" s="230">
        <f t="shared" si="319"/>
        <v>0</v>
      </c>
      <c r="O459" s="230">
        <f t="shared" si="319"/>
        <v>0</v>
      </c>
      <c r="P459" s="230">
        <f t="shared" si="319"/>
        <v>0</v>
      </c>
    </row>
    <row r="460" spans="2:16" hidden="1" outlineLevel="2">
      <c r="B460">
        <f t="shared" si="317"/>
        <v>56</v>
      </c>
      <c r="C460" s="73" t="str">
        <v>SpareOfferB21</v>
      </c>
      <c r="D460" t="s">
        <v>174</v>
      </c>
      <c r="F460" s="87">
        <v>0</v>
      </c>
      <c r="H460" s="230">
        <f t="shared" ref="H460:P474" si="320">INDEX(per.sub.volumes.by.demand.descriptions,$B460,H$437)</f>
        <v>0</v>
      </c>
      <c r="I460" s="230">
        <f t="shared" si="320"/>
        <v>0</v>
      </c>
      <c r="J460" s="230">
        <f t="shared" si="320"/>
        <v>0</v>
      </c>
      <c r="K460" s="230">
        <f t="shared" si="320"/>
        <v>0</v>
      </c>
      <c r="L460" s="230">
        <f t="shared" si="320"/>
        <v>0</v>
      </c>
      <c r="M460" s="230">
        <f t="shared" si="320"/>
        <v>0</v>
      </c>
      <c r="N460" s="230">
        <f t="shared" si="320"/>
        <v>0</v>
      </c>
      <c r="O460" s="230">
        <f t="shared" si="320"/>
        <v>0</v>
      </c>
      <c r="P460" s="230">
        <f t="shared" si="320"/>
        <v>0</v>
      </c>
    </row>
    <row r="461" spans="2:16" hidden="1" outlineLevel="2">
      <c r="B461">
        <f t="shared" si="317"/>
        <v>57</v>
      </c>
      <c r="C461" s="73" t="str">
        <v>SpareOfferB22</v>
      </c>
      <c r="D461" t="s">
        <v>174</v>
      </c>
      <c r="F461" s="87">
        <v>0</v>
      </c>
      <c r="H461" s="230">
        <f t="shared" si="320"/>
        <v>0</v>
      </c>
      <c r="I461" s="230">
        <f t="shared" si="320"/>
        <v>0</v>
      </c>
      <c r="J461" s="230">
        <f t="shared" si="320"/>
        <v>0</v>
      </c>
      <c r="K461" s="230">
        <f t="shared" si="320"/>
        <v>0</v>
      </c>
      <c r="L461" s="230">
        <f t="shared" si="320"/>
        <v>0</v>
      </c>
      <c r="M461" s="230">
        <f t="shared" si="320"/>
        <v>0</v>
      </c>
      <c r="N461" s="230">
        <f t="shared" si="320"/>
        <v>0</v>
      </c>
      <c r="O461" s="230">
        <f t="shared" si="320"/>
        <v>0</v>
      </c>
      <c r="P461" s="230">
        <f t="shared" si="320"/>
        <v>0</v>
      </c>
    </row>
    <row r="462" spans="2:16" hidden="1" outlineLevel="2">
      <c r="B462">
        <f t="shared" si="317"/>
        <v>58</v>
      </c>
      <c r="C462" s="73" t="str">
        <v>SpareOfferB23</v>
      </c>
      <c r="D462" t="s">
        <v>174</v>
      </c>
      <c r="F462" s="87">
        <v>0</v>
      </c>
      <c r="H462" s="230">
        <f t="shared" si="320"/>
        <v>0</v>
      </c>
      <c r="I462" s="230">
        <f t="shared" si="320"/>
        <v>0</v>
      </c>
      <c r="J462" s="230">
        <f t="shared" si="320"/>
        <v>0</v>
      </c>
      <c r="K462" s="230">
        <f t="shared" si="320"/>
        <v>0</v>
      </c>
      <c r="L462" s="230">
        <f t="shared" si="320"/>
        <v>0</v>
      </c>
      <c r="M462" s="230">
        <f t="shared" si="320"/>
        <v>0</v>
      </c>
      <c r="N462" s="230">
        <f t="shared" si="320"/>
        <v>0</v>
      </c>
      <c r="O462" s="230">
        <f t="shared" si="320"/>
        <v>0</v>
      </c>
      <c r="P462" s="230">
        <f t="shared" si="320"/>
        <v>0</v>
      </c>
    </row>
    <row r="463" spans="2:16" hidden="1" outlineLevel="2">
      <c r="B463">
        <f t="shared" si="317"/>
        <v>59</v>
      </c>
      <c r="C463" s="73" t="str">
        <v>SpareOfferB24</v>
      </c>
      <c r="D463" t="s">
        <v>174</v>
      </c>
      <c r="F463" s="87">
        <v>0</v>
      </c>
      <c r="H463" s="230">
        <f t="shared" si="320"/>
        <v>0</v>
      </c>
      <c r="I463" s="230">
        <f t="shared" si="320"/>
        <v>0</v>
      </c>
      <c r="J463" s="230">
        <f t="shared" si="320"/>
        <v>0</v>
      </c>
      <c r="K463" s="230">
        <f t="shared" si="320"/>
        <v>0</v>
      </c>
      <c r="L463" s="230">
        <f t="shared" si="320"/>
        <v>0</v>
      </c>
      <c r="M463" s="230">
        <f t="shared" si="320"/>
        <v>0</v>
      </c>
      <c r="N463" s="230">
        <f t="shared" si="320"/>
        <v>0</v>
      </c>
      <c r="O463" s="230">
        <f t="shared" si="320"/>
        <v>0</v>
      </c>
      <c r="P463" s="230">
        <f t="shared" si="320"/>
        <v>0</v>
      </c>
    </row>
    <row r="464" spans="2:16" hidden="1" outlineLevel="2">
      <c r="B464">
        <f t="shared" si="317"/>
        <v>60</v>
      </c>
      <c r="C464" s="73" t="str">
        <v>SpareOfferB25</v>
      </c>
      <c r="D464" t="s">
        <v>174</v>
      </c>
      <c r="F464" s="87">
        <v>0</v>
      </c>
      <c r="H464" s="230">
        <f t="shared" si="320"/>
        <v>0</v>
      </c>
      <c r="I464" s="230">
        <f t="shared" si="320"/>
        <v>0</v>
      </c>
      <c r="J464" s="230">
        <f t="shared" si="320"/>
        <v>0</v>
      </c>
      <c r="K464" s="230">
        <f t="shared" si="320"/>
        <v>0</v>
      </c>
      <c r="L464" s="230">
        <f t="shared" si="320"/>
        <v>0</v>
      </c>
      <c r="M464" s="230">
        <f t="shared" si="320"/>
        <v>0</v>
      </c>
      <c r="N464" s="230">
        <f t="shared" si="320"/>
        <v>0</v>
      </c>
      <c r="O464" s="230">
        <f t="shared" si="320"/>
        <v>0</v>
      </c>
      <c r="P464" s="230">
        <f t="shared" si="320"/>
        <v>0</v>
      </c>
    </row>
    <row r="465" spans="2:16" hidden="1" outlineLevel="2">
      <c r="B465">
        <f t="shared" si="317"/>
        <v>61</v>
      </c>
      <c r="C465" s="73" t="str">
        <v>SpareOfferB26</v>
      </c>
      <c r="D465" t="s">
        <v>174</v>
      </c>
      <c r="F465" s="87">
        <v>0</v>
      </c>
      <c r="H465" s="230">
        <f t="shared" si="320"/>
        <v>0</v>
      </c>
      <c r="I465" s="230">
        <f t="shared" si="320"/>
        <v>0</v>
      </c>
      <c r="J465" s="230">
        <f t="shared" si="320"/>
        <v>0</v>
      </c>
      <c r="K465" s="230">
        <f t="shared" si="320"/>
        <v>0</v>
      </c>
      <c r="L465" s="230">
        <f t="shared" si="320"/>
        <v>0</v>
      </c>
      <c r="M465" s="230">
        <f t="shared" si="320"/>
        <v>0</v>
      </c>
      <c r="N465" s="230">
        <f t="shared" si="320"/>
        <v>0</v>
      </c>
      <c r="O465" s="230">
        <f t="shared" si="320"/>
        <v>0</v>
      </c>
      <c r="P465" s="230">
        <f t="shared" si="320"/>
        <v>0</v>
      </c>
    </row>
    <row r="466" spans="2:16" hidden="1" outlineLevel="2">
      <c r="B466">
        <f t="shared" si="317"/>
        <v>62</v>
      </c>
      <c r="C466" s="73" t="str">
        <v>SpareOfferB27</v>
      </c>
      <c r="D466" t="s">
        <v>174</v>
      </c>
      <c r="F466" s="87">
        <v>0</v>
      </c>
      <c r="H466" s="230">
        <f t="shared" si="320"/>
        <v>0</v>
      </c>
      <c r="I466" s="230">
        <f t="shared" si="320"/>
        <v>0</v>
      </c>
      <c r="J466" s="230">
        <f t="shared" si="320"/>
        <v>0</v>
      </c>
      <c r="K466" s="230">
        <f t="shared" si="320"/>
        <v>0</v>
      </c>
      <c r="L466" s="230">
        <f t="shared" si="320"/>
        <v>0</v>
      </c>
      <c r="M466" s="230">
        <f t="shared" si="320"/>
        <v>0</v>
      </c>
      <c r="N466" s="230">
        <f t="shared" si="320"/>
        <v>0</v>
      </c>
      <c r="O466" s="230">
        <f t="shared" si="320"/>
        <v>0</v>
      </c>
      <c r="P466" s="230">
        <f t="shared" si="320"/>
        <v>0</v>
      </c>
    </row>
    <row r="467" spans="2:16" hidden="1" outlineLevel="2">
      <c r="B467">
        <f t="shared" si="317"/>
        <v>63</v>
      </c>
      <c r="C467" s="73" t="str">
        <v>SpareOfferB28</v>
      </c>
      <c r="D467" t="s">
        <v>174</v>
      </c>
      <c r="F467" s="87">
        <v>0</v>
      </c>
      <c r="H467" s="230">
        <f t="shared" si="320"/>
        <v>0</v>
      </c>
      <c r="I467" s="230">
        <f t="shared" si="320"/>
        <v>0</v>
      </c>
      <c r="J467" s="230">
        <f t="shared" si="320"/>
        <v>0</v>
      </c>
      <c r="K467" s="230">
        <f t="shared" si="320"/>
        <v>0</v>
      </c>
      <c r="L467" s="230">
        <f t="shared" si="320"/>
        <v>0</v>
      </c>
      <c r="M467" s="230">
        <f t="shared" si="320"/>
        <v>0</v>
      </c>
      <c r="N467" s="230">
        <f t="shared" si="320"/>
        <v>0</v>
      </c>
      <c r="O467" s="230">
        <f t="shared" si="320"/>
        <v>0</v>
      </c>
      <c r="P467" s="230">
        <f t="shared" si="320"/>
        <v>0</v>
      </c>
    </row>
    <row r="468" spans="2:16" hidden="1" outlineLevel="2">
      <c r="B468">
        <f t="shared" si="317"/>
        <v>64</v>
      </c>
      <c r="C468" s="73" t="str">
        <v>SpareOfferB29</v>
      </c>
      <c r="D468" t="s">
        <v>174</v>
      </c>
      <c r="F468" s="87">
        <v>0</v>
      </c>
      <c r="H468" s="230">
        <f t="shared" si="320"/>
        <v>0</v>
      </c>
      <c r="I468" s="230">
        <f t="shared" si="320"/>
        <v>0</v>
      </c>
      <c r="J468" s="230">
        <f t="shared" si="320"/>
        <v>0</v>
      </c>
      <c r="K468" s="230">
        <f t="shared" si="320"/>
        <v>0</v>
      </c>
      <c r="L468" s="230">
        <f t="shared" si="320"/>
        <v>0</v>
      </c>
      <c r="M468" s="230">
        <f t="shared" si="320"/>
        <v>0</v>
      </c>
      <c r="N468" s="230">
        <f t="shared" si="320"/>
        <v>0</v>
      </c>
      <c r="O468" s="230">
        <f t="shared" si="320"/>
        <v>0</v>
      </c>
      <c r="P468" s="230">
        <f t="shared" si="320"/>
        <v>0</v>
      </c>
    </row>
    <row r="469" spans="2:16" hidden="1" outlineLevel="2">
      <c r="B469">
        <f t="shared" si="317"/>
        <v>65</v>
      </c>
      <c r="C469" s="73" t="str">
        <v>SpareOfferB30</v>
      </c>
      <c r="D469" t="s">
        <v>174</v>
      </c>
      <c r="F469" s="87">
        <v>0</v>
      </c>
      <c r="H469" s="230">
        <f t="shared" si="320"/>
        <v>0</v>
      </c>
      <c r="I469" s="230">
        <f t="shared" si="320"/>
        <v>0</v>
      </c>
      <c r="J469" s="230">
        <f t="shared" si="320"/>
        <v>0</v>
      </c>
      <c r="K469" s="230">
        <f t="shared" si="320"/>
        <v>0</v>
      </c>
      <c r="L469" s="230">
        <f t="shared" si="320"/>
        <v>0</v>
      </c>
      <c r="M469" s="230">
        <f t="shared" si="320"/>
        <v>0</v>
      </c>
      <c r="N469" s="230">
        <f t="shared" si="320"/>
        <v>0</v>
      </c>
      <c r="O469" s="230">
        <f t="shared" si="320"/>
        <v>0</v>
      </c>
      <c r="P469" s="230">
        <f t="shared" si="320"/>
        <v>0</v>
      </c>
    </row>
    <row r="470" spans="2:16" hidden="1" outlineLevel="2">
      <c r="B470">
        <f t="shared" si="317"/>
        <v>66</v>
      </c>
      <c r="C470" s="73" t="str">
        <v>SpareOfferB31</v>
      </c>
      <c r="D470" t="s">
        <v>174</v>
      </c>
      <c r="F470" s="87">
        <v>0</v>
      </c>
      <c r="H470" s="230">
        <f t="shared" si="320"/>
        <v>0</v>
      </c>
      <c r="I470" s="230">
        <f t="shared" si="320"/>
        <v>0</v>
      </c>
      <c r="J470" s="230">
        <f t="shared" si="320"/>
        <v>0</v>
      </c>
      <c r="K470" s="230">
        <f t="shared" si="320"/>
        <v>0</v>
      </c>
      <c r="L470" s="230">
        <f t="shared" si="320"/>
        <v>0</v>
      </c>
      <c r="M470" s="230">
        <f t="shared" si="320"/>
        <v>0</v>
      </c>
      <c r="N470" s="230">
        <f t="shared" si="320"/>
        <v>0</v>
      </c>
      <c r="O470" s="230">
        <f t="shared" si="320"/>
        <v>0</v>
      </c>
      <c r="P470" s="230">
        <f t="shared" si="320"/>
        <v>0</v>
      </c>
    </row>
    <row r="471" spans="2:16" hidden="1" outlineLevel="2">
      <c r="B471">
        <f t="shared" si="317"/>
        <v>67</v>
      </c>
      <c r="C471" s="73" t="str">
        <v>SpareOfferB32</v>
      </c>
      <c r="D471" t="s">
        <v>174</v>
      </c>
      <c r="F471" s="87">
        <v>0</v>
      </c>
      <c r="H471" s="230">
        <f t="shared" si="320"/>
        <v>0</v>
      </c>
      <c r="I471" s="230">
        <f t="shared" si="320"/>
        <v>0</v>
      </c>
      <c r="J471" s="230">
        <f t="shared" si="320"/>
        <v>0</v>
      </c>
      <c r="K471" s="230">
        <f t="shared" si="320"/>
        <v>0</v>
      </c>
      <c r="L471" s="230">
        <f t="shared" si="320"/>
        <v>0</v>
      </c>
      <c r="M471" s="230">
        <f t="shared" si="320"/>
        <v>0</v>
      </c>
      <c r="N471" s="230">
        <f t="shared" si="320"/>
        <v>0</v>
      </c>
      <c r="O471" s="230">
        <f t="shared" si="320"/>
        <v>0</v>
      </c>
      <c r="P471" s="230">
        <f t="shared" si="320"/>
        <v>0</v>
      </c>
    </row>
    <row r="472" spans="2:16" hidden="1" outlineLevel="2">
      <c r="B472">
        <f t="shared" si="317"/>
        <v>68</v>
      </c>
      <c r="C472" s="73" t="str">
        <v>SpareOfferB33</v>
      </c>
      <c r="D472" t="s">
        <v>174</v>
      </c>
      <c r="F472" s="87">
        <v>0</v>
      </c>
      <c r="H472" s="230">
        <f t="shared" si="320"/>
        <v>0</v>
      </c>
      <c r="I472" s="230">
        <f t="shared" si="320"/>
        <v>0</v>
      </c>
      <c r="J472" s="230">
        <f t="shared" si="320"/>
        <v>0</v>
      </c>
      <c r="K472" s="230">
        <f t="shared" si="320"/>
        <v>0</v>
      </c>
      <c r="L472" s="230">
        <f t="shared" si="320"/>
        <v>0</v>
      </c>
      <c r="M472" s="230">
        <f t="shared" si="320"/>
        <v>0</v>
      </c>
      <c r="N472" s="230">
        <f t="shared" si="320"/>
        <v>0</v>
      </c>
      <c r="O472" s="230">
        <f t="shared" si="320"/>
        <v>0</v>
      </c>
      <c r="P472" s="230">
        <f t="shared" si="320"/>
        <v>0</v>
      </c>
    </row>
    <row r="473" spans="2:16" hidden="1" outlineLevel="2">
      <c r="B473">
        <f t="shared" si="317"/>
        <v>69</v>
      </c>
      <c r="C473" s="73" t="str">
        <v>SpareOfferB34</v>
      </c>
      <c r="D473" t="s">
        <v>174</v>
      </c>
      <c r="F473" s="87">
        <v>0</v>
      </c>
      <c r="H473" s="230">
        <f t="shared" si="320"/>
        <v>0</v>
      </c>
      <c r="I473" s="230">
        <f t="shared" si="320"/>
        <v>0</v>
      </c>
      <c r="J473" s="230">
        <f t="shared" si="320"/>
        <v>0</v>
      </c>
      <c r="K473" s="230">
        <f t="shared" si="320"/>
        <v>0</v>
      </c>
      <c r="L473" s="230">
        <f t="shared" si="320"/>
        <v>0</v>
      </c>
      <c r="M473" s="230">
        <f t="shared" si="320"/>
        <v>0</v>
      </c>
      <c r="N473" s="230">
        <f t="shared" si="320"/>
        <v>0</v>
      </c>
      <c r="O473" s="230">
        <f t="shared" si="320"/>
        <v>0</v>
      </c>
      <c r="P473" s="230">
        <f t="shared" si="320"/>
        <v>0</v>
      </c>
    </row>
    <row r="474" spans="2:16" outlineLevel="1" collapsed="1">
      <c r="B474">
        <f t="shared" si="317"/>
        <v>70</v>
      </c>
      <c r="C474" s="73" t="str">
        <v>SpareOfferB35</v>
      </c>
      <c r="D474" t="s">
        <v>174</v>
      </c>
      <c r="F474" s="87">
        <v>0</v>
      </c>
      <c r="H474" s="230">
        <f t="shared" si="320"/>
        <v>0</v>
      </c>
      <c r="I474" s="230">
        <f t="shared" si="320"/>
        <v>0</v>
      </c>
      <c r="J474" s="230">
        <f t="shared" si="320"/>
        <v>0</v>
      </c>
      <c r="K474" s="230">
        <f t="shared" si="320"/>
        <v>0</v>
      </c>
      <c r="L474" s="230">
        <f t="shared" si="320"/>
        <v>0</v>
      </c>
      <c r="M474" s="230">
        <f t="shared" si="320"/>
        <v>0</v>
      </c>
      <c r="N474" s="230">
        <f t="shared" si="320"/>
        <v>0</v>
      </c>
      <c r="O474" s="230">
        <f t="shared" si="320"/>
        <v>0</v>
      </c>
      <c r="P474" s="230">
        <f t="shared" si="320"/>
        <v>0</v>
      </c>
    </row>
    <row r="475" spans="2:16" outlineLevel="1"/>
    <row r="476" spans="2:16" ht="34.5" outlineLevel="1">
      <c r="B476" s="91" t="s">
        <v>219</v>
      </c>
      <c r="F476" s="127" t="s">
        <v>190</v>
      </c>
      <c r="H476" s="1" t="str">
        <f t="array" ref="H476:P476">options.selected.roaming.detailed</f>
        <v>Roaming voice (EEA)</v>
      </c>
      <c r="I476" s="1" t="str">
        <v>Roaming voice (non-EEA)</v>
      </c>
      <c r="J476" s="1" t="str">
        <v>Roaming CF (EEA)</v>
      </c>
      <c r="K476" s="1" t="str">
        <v>Roaming CF (non-EEA)</v>
      </c>
      <c r="L476" s="1" t="str">
        <v>Roaming messages (EEA)</v>
      </c>
      <c r="M476" s="1" t="str">
        <v>Roaming messages (non-EEA)</v>
      </c>
      <c r="N476" s="1" t="str">
        <v>Roaming data (EEA)</v>
      </c>
      <c r="O476" s="1" t="str">
        <v>Roaming data (non-EEA)</v>
      </c>
      <c r="P476" s="1" t="str">
        <v>Spare 1</v>
      </c>
    </row>
    <row r="477" spans="2:16" outlineLevel="1">
      <c r="C477" s="93" t="s">
        <v>342</v>
      </c>
      <c r="D477" t="s">
        <v>301</v>
      </c>
      <c r="F477" s="233">
        <f>SUM(H477:P477)</f>
        <v>0</v>
      </c>
      <c r="H477" s="232">
        <f>H439*H$435</f>
        <v>0</v>
      </c>
      <c r="I477" s="232">
        <f t="shared" ref="I477:P477" si="321">I439*I$435</f>
        <v>0</v>
      </c>
      <c r="J477" s="232">
        <f t="shared" si="321"/>
        <v>0</v>
      </c>
      <c r="K477" s="232">
        <f t="shared" si="321"/>
        <v>0</v>
      </c>
      <c r="L477" s="232">
        <f t="shared" si="321"/>
        <v>0</v>
      </c>
      <c r="M477" s="232">
        <f t="shared" si="321"/>
        <v>0</v>
      </c>
      <c r="N477" s="232">
        <f t="shared" si="321"/>
        <v>0</v>
      </c>
      <c r="O477" s="232">
        <f t="shared" si="321"/>
        <v>0</v>
      </c>
      <c r="P477" s="232">
        <f t="shared" si="321"/>
        <v>0</v>
      </c>
    </row>
    <row r="478" spans="2:16" outlineLevel="1">
      <c r="C478" s="73" t="str">
        <f t="array" ref="C478:C512">offers.segment.2</f>
        <v>SpareOfferB1</v>
      </c>
      <c r="D478" t="s">
        <v>301</v>
      </c>
      <c r="F478" s="234">
        <f t="shared" ref="F478:F511" si="322">SUM(H478:P478)</f>
        <v>0</v>
      </c>
      <c r="H478" s="232">
        <f>H440*H$435</f>
        <v>0</v>
      </c>
      <c r="I478" s="232">
        <f t="shared" ref="I478:P478" si="323">I440*I$435</f>
        <v>0</v>
      </c>
      <c r="J478" s="232">
        <f t="shared" si="323"/>
        <v>0</v>
      </c>
      <c r="K478" s="232">
        <f t="shared" si="323"/>
        <v>0</v>
      </c>
      <c r="L478" s="232">
        <f t="shared" si="323"/>
        <v>0</v>
      </c>
      <c r="M478" s="232">
        <f t="shared" si="323"/>
        <v>0</v>
      </c>
      <c r="N478" s="232">
        <f t="shared" si="323"/>
        <v>0</v>
      </c>
      <c r="O478" s="232">
        <f t="shared" si="323"/>
        <v>0</v>
      </c>
      <c r="P478" s="232">
        <f t="shared" si="323"/>
        <v>0</v>
      </c>
    </row>
    <row r="479" spans="2:16" hidden="1" outlineLevel="2">
      <c r="C479" s="73" t="str">
        <v>SpareOfferB2</v>
      </c>
      <c r="D479" t="s">
        <v>301</v>
      </c>
      <c r="F479" s="234">
        <f t="shared" si="322"/>
        <v>0</v>
      </c>
      <c r="H479" s="232">
        <f t="shared" ref="H479" si="324">H441*H$435</f>
        <v>0</v>
      </c>
      <c r="I479" s="232">
        <f t="shared" ref="I479:P479" si="325">I441*I$435</f>
        <v>0</v>
      </c>
      <c r="J479" s="232">
        <f t="shared" si="325"/>
        <v>0</v>
      </c>
      <c r="K479" s="232">
        <f t="shared" si="325"/>
        <v>0</v>
      </c>
      <c r="L479" s="232">
        <f t="shared" si="325"/>
        <v>0</v>
      </c>
      <c r="M479" s="232">
        <f t="shared" si="325"/>
        <v>0</v>
      </c>
      <c r="N479" s="232">
        <f t="shared" si="325"/>
        <v>0</v>
      </c>
      <c r="O479" s="232">
        <f t="shared" si="325"/>
        <v>0</v>
      </c>
      <c r="P479" s="232">
        <f t="shared" si="325"/>
        <v>0</v>
      </c>
    </row>
    <row r="480" spans="2:16" hidden="1" outlineLevel="2">
      <c r="C480" s="73" t="str">
        <v>SpareOfferB3</v>
      </c>
      <c r="D480" t="s">
        <v>301</v>
      </c>
      <c r="F480" s="234">
        <f t="shared" si="322"/>
        <v>0</v>
      </c>
      <c r="H480" s="232">
        <f t="shared" ref="H480" si="326">H442*H$435</f>
        <v>0</v>
      </c>
      <c r="I480" s="232">
        <f t="shared" ref="I480:P480" si="327">I442*I$435</f>
        <v>0</v>
      </c>
      <c r="J480" s="232">
        <f t="shared" si="327"/>
        <v>0</v>
      </c>
      <c r="K480" s="232">
        <f t="shared" si="327"/>
        <v>0</v>
      </c>
      <c r="L480" s="232">
        <f t="shared" si="327"/>
        <v>0</v>
      </c>
      <c r="M480" s="232">
        <f t="shared" si="327"/>
        <v>0</v>
      </c>
      <c r="N480" s="232">
        <f t="shared" si="327"/>
        <v>0</v>
      </c>
      <c r="O480" s="232">
        <f t="shared" si="327"/>
        <v>0</v>
      </c>
      <c r="P480" s="232">
        <f t="shared" si="327"/>
        <v>0</v>
      </c>
    </row>
    <row r="481" spans="3:16" hidden="1" outlineLevel="2">
      <c r="C481" s="73" t="str">
        <v>SpareOfferB4</v>
      </c>
      <c r="D481" t="s">
        <v>301</v>
      </c>
      <c r="F481" s="234">
        <f t="shared" si="322"/>
        <v>0</v>
      </c>
      <c r="H481" s="232">
        <f t="shared" ref="H481" si="328">H443*H$435</f>
        <v>0</v>
      </c>
      <c r="I481" s="232">
        <f t="shared" ref="I481:P481" si="329">I443*I$435</f>
        <v>0</v>
      </c>
      <c r="J481" s="232">
        <f t="shared" si="329"/>
        <v>0</v>
      </c>
      <c r="K481" s="232">
        <f t="shared" si="329"/>
        <v>0</v>
      </c>
      <c r="L481" s="232">
        <f t="shared" si="329"/>
        <v>0</v>
      </c>
      <c r="M481" s="232">
        <f t="shared" si="329"/>
        <v>0</v>
      </c>
      <c r="N481" s="232">
        <f t="shared" si="329"/>
        <v>0</v>
      </c>
      <c r="O481" s="232">
        <f t="shared" si="329"/>
        <v>0</v>
      </c>
      <c r="P481" s="232">
        <f t="shared" si="329"/>
        <v>0</v>
      </c>
    </row>
    <row r="482" spans="3:16" hidden="1" outlineLevel="2">
      <c r="C482" s="73" t="str">
        <v>SpareOfferB5</v>
      </c>
      <c r="D482" t="s">
        <v>301</v>
      </c>
      <c r="F482" s="234">
        <f t="shared" si="322"/>
        <v>0</v>
      </c>
      <c r="H482" s="232">
        <f t="shared" ref="H482" si="330">H444*H$435</f>
        <v>0</v>
      </c>
      <c r="I482" s="232">
        <f t="shared" ref="I482:P482" si="331">I444*I$435</f>
        <v>0</v>
      </c>
      <c r="J482" s="232">
        <f t="shared" si="331"/>
        <v>0</v>
      </c>
      <c r="K482" s="232">
        <f t="shared" si="331"/>
        <v>0</v>
      </c>
      <c r="L482" s="232">
        <f t="shared" si="331"/>
        <v>0</v>
      </c>
      <c r="M482" s="232">
        <f t="shared" si="331"/>
        <v>0</v>
      </c>
      <c r="N482" s="232">
        <f t="shared" si="331"/>
        <v>0</v>
      </c>
      <c r="O482" s="232">
        <f t="shared" si="331"/>
        <v>0</v>
      </c>
      <c r="P482" s="232">
        <f t="shared" si="331"/>
        <v>0</v>
      </c>
    </row>
    <row r="483" spans="3:16" hidden="1" outlineLevel="2">
      <c r="C483" s="73" t="str">
        <v>SpareOfferB6</v>
      </c>
      <c r="D483" t="s">
        <v>301</v>
      </c>
      <c r="F483" s="234">
        <f t="shared" si="322"/>
        <v>0</v>
      </c>
      <c r="H483" s="232">
        <f t="shared" ref="H483" si="332">H445*H$435</f>
        <v>0</v>
      </c>
      <c r="I483" s="232">
        <f t="shared" ref="I483:P483" si="333">I445*I$435</f>
        <v>0</v>
      </c>
      <c r="J483" s="232">
        <f t="shared" si="333"/>
        <v>0</v>
      </c>
      <c r="K483" s="232">
        <f t="shared" si="333"/>
        <v>0</v>
      </c>
      <c r="L483" s="232">
        <f t="shared" si="333"/>
        <v>0</v>
      </c>
      <c r="M483" s="232">
        <f t="shared" si="333"/>
        <v>0</v>
      </c>
      <c r="N483" s="232">
        <f t="shared" si="333"/>
        <v>0</v>
      </c>
      <c r="O483" s="232">
        <f t="shared" si="333"/>
        <v>0</v>
      </c>
      <c r="P483" s="232">
        <f t="shared" si="333"/>
        <v>0</v>
      </c>
    </row>
    <row r="484" spans="3:16" hidden="1" outlineLevel="2">
      <c r="C484" s="73" t="str">
        <v>SpareOfferB7</v>
      </c>
      <c r="D484" t="s">
        <v>301</v>
      </c>
      <c r="F484" s="234">
        <f t="shared" si="322"/>
        <v>0</v>
      </c>
      <c r="H484" s="232">
        <f t="shared" ref="H484" si="334">H446*H$435</f>
        <v>0</v>
      </c>
      <c r="I484" s="232">
        <f t="shared" ref="I484:P484" si="335">I446*I$435</f>
        <v>0</v>
      </c>
      <c r="J484" s="232">
        <f t="shared" si="335"/>
        <v>0</v>
      </c>
      <c r="K484" s="232">
        <f t="shared" si="335"/>
        <v>0</v>
      </c>
      <c r="L484" s="232">
        <f t="shared" si="335"/>
        <v>0</v>
      </c>
      <c r="M484" s="232">
        <f t="shared" si="335"/>
        <v>0</v>
      </c>
      <c r="N484" s="232">
        <f t="shared" si="335"/>
        <v>0</v>
      </c>
      <c r="O484" s="232">
        <f t="shared" si="335"/>
        <v>0</v>
      </c>
      <c r="P484" s="232">
        <f t="shared" si="335"/>
        <v>0</v>
      </c>
    </row>
    <row r="485" spans="3:16" hidden="1" outlineLevel="2">
      <c r="C485" s="73" t="str">
        <v>SpareOfferB8</v>
      </c>
      <c r="D485" t="s">
        <v>301</v>
      </c>
      <c r="F485" s="234">
        <f t="shared" si="322"/>
        <v>0</v>
      </c>
      <c r="H485" s="232">
        <f t="shared" ref="H485" si="336">H447*H$435</f>
        <v>0</v>
      </c>
      <c r="I485" s="232">
        <f t="shared" ref="I485:P485" si="337">I447*I$435</f>
        <v>0</v>
      </c>
      <c r="J485" s="232">
        <f t="shared" si="337"/>
        <v>0</v>
      </c>
      <c r="K485" s="232">
        <f t="shared" si="337"/>
        <v>0</v>
      </c>
      <c r="L485" s="232">
        <f t="shared" si="337"/>
        <v>0</v>
      </c>
      <c r="M485" s="232">
        <f t="shared" si="337"/>
        <v>0</v>
      </c>
      <c r="N485" s="232">
        <f t="shared" si="337"/>
        <v>0</v>
      </c>
      <c r="O485" s="232">
        <f t="shared" si="337"/>
        <v>0</v>
      </c>
      <c r="P485" s="232">
        <f t="shared" si="337"/>
        <v>0</v>
      </c>
    </row>
    <row r="486" spans="3:16" hidden="1" outlineLevel="2">
      <c r="C486" s="73" t="str">
        <v>SpareOfferB9</v>
      </c>
      <c r="D486" t="s">
        <v>301</v>
      </c>
      <c r="F486" s="234">
        <f t="shared" si="322"/>
        <v>0</v>
      </c>
      <c r="H486" s="232">
        <f t="shared" ref="H486" si="338">H448*H$435</f>
        <v>0</v>
      </c>
      <c r="I486" s="232">
        <f t="shared" ref="I486:P486" si="339">I448*I$435</f>
        <v>0</v>
      </c>
      <c r="J486" s="232">
        <f t="shared" si="339"/>
        <v>0</v>
      </c>
      <c r="K486" s="232">
        <f t="shared" si="339"/>
        <v>0</v>
      </c>
      <c r="L486" s="232">
        <f t="shared" si="339"/>
        <v>0</v>
      </c>
      <c r="M486" s="232">
        <f t="shared" si="339"/>
        <v>0</v>
      </c>
      <c r="N486" s="232">
        <f t="shared" si="339"/>
        <v>0</v>
      </c>
      <c r="O486" s="232">
        <f t="shared" si="339"/>
        <v>0</v>
      </c>
      <c r="P486" s="232">
        <f t="shared" si="339"/>
        <v>0</v>
      </c>
    </row>
    <row r="487" spans="3:16" hidden="1" outlineLevel="2">
      <c r="C487" s="73" t="str">
        <v>SpareOfferB10</v>
      </c>
      <c r="D487" t="s">
        <v>301</v>
      </c>
      <c r="F487" s="234">
        <f t="shared" si="322"/>
        <v>0</v>
      </c>
      <c r="H487" s="232">
        <f t="shared" ref="H487" si="340">H449*H$435</f>
        <v>0</v>
      </c>
      <c r="I487" s="232">
        <f t="shared" ref="I487:P487" si="341">I449*I$435</f>
        <v>0</v>
      </c>
      <c r="J487" s="232">
        <f t="shared" si="341"/>
        <v>0</v>
      </c>
      <c r="K487" s="232">
        <f t="shared" si="341"/>
        <v>0</v>
      </c>
      <c r="L487" s="232">
        <f t="shared" si="341"/>
        <v>0</v>
      </c>
      <c r="M487" s="232">
        <f t="shared" si="341"/>
        <v>0</v>
      </c>
      <c r="N487" s="232">
        <f t="shared" si="341"/>
        <v>0</v>
      </c>
      <c r="O487" s="232">
        <f t="shared" si="341"/>
        <v>0</v>
      </c>
      <c r="P487" s="232">
        <f t="shared" si="341"/>
        <v>0</v>
      </c>
    </row>
    <row r="488" spans="3:16" hidden="1" outlineLevel="2">
      <c r="C488" s="73" t="str">
        <v>SpareOfferB11</v>
      </c>
      <c r="D488" t="s">
        <v>301</v>
      </c>
      <c r="F488" s="234">
        <f t="shared" si="322"/>
        <v>0</v>
      </c>
      <c r="H488" s="232">
        <f t="shared" ref="H488" si="342">H450*H$435</f>
        <v>0</v>
      </c>
      <c r="I488" s="232">
        <f t="shared" ref="I488:P488" si="343">I450*I$435</f>
        <v>0</v>
      </c>
      <c r="J488" s="232">
        <f t="shared" si="343"/>
        <v>0</v>
      </c>
      <c r="K488" s="232">
        <f t="shared" si="343"/>
        <v>0</v>
      </c>
      <c r="L488" s="232">
        <f t="shared" si="343"/>
        <v>0</v>
      </c>
      <c r="M488" s="232">
        <f t="shared" si="343"/>
        <v>0</v>
      </c>
      <c r="N488" s="232">
        <f t="shared" si="343"/>
        <v>0</v>
      </c>
      <c r="O488" s="232">
        <f t="shared" si="343"/>
        <v>0</v>
      </c>
      <c r="P488" s="232">
        <f t="shared" si="343"/>
        <v>0</v>
      </c>
    </row>
    <row r="489" spans="3:16" hidden="1" outlineLevel="2">
      <c r="C489" s="73" t="str">
        <v>SpareOfferB12</v>
      </c>
      <c r="D489" t="s">
        <v>301</v>
      </c>
      <c r="F489" s="234">
        <f t="shared" si="322"/>
        <v>0</v>
      </c>
      <c r="H489" s="232">
        <f t="shared" ref="H489" si="344">H451*H$435</f>
        <v>0</v>
      </c>
      <c r="I489" s="232">
        <f t="shared" ref="I489:P489" si="345">I451*I$435</f>
        <v>0</v>
      </c>
      <c r="J489" s="232">
        <f t="shared" si="345"/>
        <v>0</v>
      </c>
      <c r="K489" s="232">
        <f t="shared" si="345"/>
        <v>0</v>
      </c>
      <c r="L489" s="232">
        <f t="shared" si="345"/>
        <v>0</v>
      </c>
      <c r="M489" s="232">
        <f t="shared" si="345"/>
        <v>0</v>
      </c>
      <c r="N489" s="232">
        <f t="shared" si="345"/>
        <v>0</v>
      </c>
      <c r="O489" s="232">
        <f t="shared" si="345"/>
        <v>0</v>
      </c>
      <c r="P489" s="232">
        <f t="shared" si="345"/>
        <v>0</v>
      </c>
    </row>
    <row r="490" spans="3:16" hidden="1" outlineLevel="2">
      <c r="C490" s="73" t="str">
        <v>SpareOfferB13</v>
      </c>
      <c r="D490" t="s">
        <v>301</v>
      </c>
      <c r="F490" s="234">
        <f t="shared" si="322"/>
        <v>0</v>
      </c>
      <c r="H490" s="232">
        <f t="shared" ref="H490" si="346">H452*H$435</f>
        <v>0</v>
      </c>
      <c r="I490" s="232">
        <f t="shared" ref="I490:P490" si="347">I452*I$435</f>
        <v>0</v>
      </c>
      <c r="J490" s="232">
        <f t="shared" si="347"/>
        <v>0</v>
      </c>
      <c r="K490" s="232">
        <f t="shared" si="347"/>
        <v>0</v>
      </c>
      <c r="L490" s="232">
        <f t="shared" si="347"/>
        <v>0</v>
      </c>
      <c r="M490" s="232">
        <f t="shared" si="347"/>
        <v>0</v>
      </c>
      <c r="N490" s="232">
        <f t="shared" si="347"/>
        <v>0</v>
      </c>
      <c r="O490" s="232">
        <f t="shared" si="347"/>
        <v>0</v>
      </c>
      <c r="P490" s="232">
        <f t="shared" si="347"/>
        <v>0</v>
      </c>
    </row>
    <row r="491" spans="3:16" hidden="1" outlineLevel="2">
      <c r="C491" s="73" t="str">
        <v>SpareOfferB14</v>
      </c>
      <c r="D491" t="s">
        <v>301</v>
      </c>
      <c r="F491" s="234">
        <f t="shared" si="322"/>
        <v>0</v>
      </c>
      <c r="H491" s="232">
        <f t="shared" ref="H491" si="348">H453*H$435</f>
        <v>0</v>
      </c>
      <c r="I491" s="232">
        <f t="shared" ref="I491:P491" si="349">I453*I$435</f>
        <v>0</v>
      </c>
      <c r="J491" s="232">
        <f t="shared" si="349"/>
        <v>0</v>
      </c>
      <c r="K491" s="232">
        <f t="shared" si="349"/>
        <v>0</v>
      </c>
      <c r="L491" s="232">
        <f t="shared" si="349"/>
        <v>0</v>
      </c>
      <c r="M491" s="232">
        <f t="shared" si="349"/>
        <v>0</v>
      </c>
      <c r="N491" s="232">
        <f t="shared" si="349"/>
        <v>0</v>
      </c>
      <c r="O491" s="232">
        <f t="shared" si="349"/>
        <v>0</v>
      </c>
      <c r="P491" s="232">
        <f t="shared" si="349"/>
        <v>0</v>
      </c>
    </row>
    <row r="492" spans="3:16" hidden="1" outlineLevel="2">
      <c r="C492" s="73" t="str">
        <v>SpareOfferB15</v>
      </c>
      <c r="D492" t="s">
        <v>301</v>
      </c>
      <c r="F492" s="234">
        <f t="shared" si="322"/>
        <v>0</v>
      </c>
      <c r="H492" s="232">
        <f t="shared" ref="H492" si="350">H454*H$435</f>
        <v>0</v>
      </c>
      <c r="I492" s="232">
        <f t="shared" ref="I492:P492" si="351">I454*I$435</f>
        <v>0</v>
      </c>
      <c r="J492" s="232">
        <f t="shared" si="351"/>
        <v>0</v>
      </c>
      <c r="K492" s="232">
        <f t="shared" si="351"/>
        <v>0</v>
      </c>
      <c r="L492" s="232">
        <f t="shared" si="351"/>
        <v>0</v>
      </c>
      <c r="M492" s="232">
        <f t="shared" si="351"/>
        <v>0</v>
      </c>
      <c r="N492" s="232">
        <f t="shared" si="351"/>
        <v>0</v>
      </c>
      <c r="O492" s="232">
        <f t="shared" si="351"/>
        <v>0</v>
      </c>
      <c r="P492" s="232">
        <f t="shared" si="351"/>
        <v>0</v>
      </c>
    </row>
    <row r="493" spans="3:16" hidden="1" outlineLevel="2">
      <c r="C493" s="73" t="str">
        <v>SpareOfferB16</v>
      </c>
      <c r="D493" t="s">
        <v>301</v>
      </c>
      <c r="F493" s="234">
        <f t="shared" si="322"/>
        <v>0</v>
      </c>
      <c r="H493" s="232">
        <f t="shared" ref="H493" si="352">H455*H$435</f>
        <v>0</v>
      </c>
      <c r="I493" s="232">
        <f t="shared" ref="I493:P493" si="353">I455*I$435</f>
        <v>0</v>
      </c>
      <c r="J493" s="232">
        <f t="shared" si="353"/>
        <v>0</v>
      </c>
      <c r="K493" s="232">
        <f t="shared" si="353"/>
        <v>0</v>
      </c>
      <c r="L493" s="232">
        <f t="shared" si="353"/>
        <v>0</v>
      </c>
      <c r="M493" s="232">
        <f t="shared" si="353"/>
        <v>0</v>
      </c>
      <c r="N493" s="232">
        <f t="shared" si="353"/>
        <v>0</v>
      </c>
      <c r="O493" s="232">
        <f t="shared" si="353"/>
        <v>0</v>
      </c>
      <c r="P493" s="232">
        <f t="shared" si="353"/>
        <v>0</v>
      </c>
    </row>
    <row r="494" spans="3:16" hidden="1" outlineLevel="2">
      <c r="C494" s="73" t="str">
        <v>SpareOfferB17</v>
      </c>
      <c r="D494" t="s">
        <v>301</v>
      </c>
      <c r="F494" s="234">
        <f t="shared" si="322"/>
        <v>0</v>
      </c>
      <c r="H494" s="232">
        <f t="shared" ref="H494" si="354">H456*H$435</f>
        <v>0</v>
      </c>
      <c r="I494" s="232">
        <f t="shared" ref="I494:P494" si="355">I456*I$435</f>
        <v>0</v>
      </c>
      <c r="J494" s="232">
        <f t="shared" si="355"/>
        <v>0</v>
      </c>
      <c r="K494" s="232">
        <f t="shared" si="355"/>
        <v>0</v>
      </c>
      <c r="L494" s="232">
        <f t="shared" si="355"/>
        <v>0</v>
      </c>
      <c r="M494" s="232">
        <f t="shared" si="355"/>
        <v>0</v>
      </c>
      <c r="N494" s="232">
        <f t="shared" si="355"/>
        <v>0</v>
      </c>
      <c r="O494" s="232">
        <f t="shared" si="355"/>
        <v>0</v>
      </c>
      <c r="P494" s="232">
        <f t="shared" si="355"/>
        <v>0</v>
      </c>
    </row>
    <row r="495" spans="3:16" hidden="1" outlineLevel="2">
      <c r="C495" s="73" t="str">
        <v>SpareOfferB18</v>
      </c>
      <c r="D495" t="s">
        <v>301</v>
      </c>
      <c r="F495" s="234">
        <f t="shared" si="322"/>
        <v>0</v>
      </c>
      <c r="H495" s="232">
        <f t="shared" ref="H495" si="356">H457*H$435</f>
        <v>0</v>
      </c>
      <c r="I495" s="232">
        <f t="shared" ref="I495:P495" si="357">I457*I$435</f>
        <v>0</v>
      </c>
      <c r="J495" s="232">
        <f t="shared" si="357"/>
        <v>0</v>
      </c>
      <c r="K495" s="232">
        <f t="shared" si="357"/>
        <v>0</v>
      </c>
      <c r="L495" s="232">
        <f t="shared" si="357"/>
        <v>0</v>
      </c>
      <c r="M495" s="232">
        <f t="shared" si="357"/>
        <v>0</v>
      </c>
      <c r="N495" s="232">
        <f t="shared" si="357"/>
        <v>0</v>
      </c>
      <c r="O495" s="232">
        <f t="shared" si="357"/>
        <v>0</v>
      </c>
      <c r="P495" s="232">
        <f t="shared" si="357"/>
        <v>0</v>
      </c>
    </row>
    <row r="496" spans="3:16" hidden="1" outlineLevel="2">
      <c r="C496" s="73" t="str">
        <v>SpareOfferB19</v>
      </c>
      <c r="D496" t="s">
        <v>301</v>
      </c>
      <c r="F496" s="234">
        <f t="shared" si="322"/>
        <v>0</v>
      </c>
      <c r="H496" s="232">
        <f t="shared" ref="H496" si="358">H458*H$435</f>
        <v>0</v>
      </c>
      <c r="I496" s="232">
        <f t="shared" ref="I496:P496" si="359">I458*I$435</f>
        <v>0</v>
      </c>
      <c r="J496" s="232">
        <f t="shared" si="359"/>
        <v>0</v>
      </c>
      <c r="K496" s="232">
        <f t="shared" si="359"/>
        <v>0</v>
      </c>
      <c r="L496" s="232">
        <f t="shared" si="359"/>
        <v>0</v>
      </c>
      <c r="M496" s="232">
        <f t="shared" si="359"/>
        <v>0</v>
      </c>
      <c r="N496" s="232">
        <f t="shared" si="359"/>
        <v>0</v>
      </c>
      <c r="O496" s="232">
        <f t="shared" si="359"/>
        <v>0</v>
      </c>
      <c r="P496" s="232">
        <f t="shared" si="359"/>
        <v>0</v>
      </c>
    </row>
    <row r="497" spans="3:16" hidden="1" outlineLevel="2">
      <c r="C497" s="73" t="str">
        <v>SpareOfferB20</v>
      </c>
      <c r="D497" t="s">
        <v>301</v>
      </c>
      <c r="F497" s="234">
        <f t="shared" si="322"/>
        <v>0</v>
      </c>
      <c r="H497" s="232">
        <f t="shared" ref="H497" si="360">H459*H$435</f>
        <v>0</v>
      </c>
      <c r="I497" s="232">
        <f t="shared" ref="I497:P497" si="361">I459*I$435</f>
        <v>0</v>
      </c>
      <c r="J497" s="232">
        <f t="shared" si="361"/>
        <v>0</v>
      </c>
      <c r="K497" s="232">
        <f t="shared" si="361"/>
        <v>0</v>
      </c>
      <c r="L497" s="232">
        <f t="shared" si="361"/>
        <v>0</v>
      </c>
      <c r="M497" s="232">
        <f t="shared" si="361"/>
        <v>0</v>
      </c>
      <c r="N497" s="232">
        <f t="shared" si="361"/>
        <v>0</v>
      </c>
      <c r="O497" s="232">
        <f t="shared" si="361"/>
        <v>0</v>
      </c>
      <c r="P497" s="232">
        <f t="shared" si="361"/>
        <v>0</v>
      </c>
    </row>
    <row r="498" spans="3:16" hidden="1" outlineLevel="2">
      <c r="C498" s="73" t="str">
        <v>SpareOfferB21</v>
      </c>
      <c r="D498" t="s">
        <v>301</v>
      </c>
      <c r="F498" s="234">
        <f t="shared" si="322"/>
        <v>0</v>
      </c>
      <c r="H498" s="232">
        <f t="shared" ref="H498" si="362">H460*H$435</f>
        <v>0</v>
      </c>
      <c r="I498" s="232">
        <f t="shared" ref="I498:P498" si="363">I460*I$435</f>
        <v>0</v>
      </c>
      <c r="J498" s="232">
        <f t="shared" si="363"/>
        <v>0</v>
      </c>
      <c r="K498" s="232">
        <f t="shared" si="363"/>
        <v>0</v>
      </c>
      <c r="L498" s="232">
        <f t="shared" si="363"/>
        <v>0</v>
      </c>
      <c r="M498" s="232">
        <f t="shared" si="363"/>
        <v>0</v>
      </c>
      <c r="N498" s="232">
        <f t="shared" si="363"/>
        <v>0</v>
      </c>
      <c r="O498" s="232">
        <f t="shared" si="363"/>
        <v>0</v>
      </c>
      <c r="P498" s="232">
        <f t="shared" si="363"/>
        <v>0</v>
      </c>
    </row>
    <row r="499" spans="3:16" hidden="1" outlineLevel="2">
      <c r="C499" s="73" t="str">
        <v>SpareOfferB22</v>
      </c>
      <c r="D499" t="s">
        <v>301</v>
      </c>
      <c r="F499" s="234">
        <f t="shared" si="322"/>
        <v>0</v>
      </c>
      <c r="H499" s="232">
        <f t="shared" ref="H499" si="364">H461*H$435</f>
        <v>0</v>
      </c>
      <c r="I499" s="232">
        <f t="shared" ref="I499:P499" si="365">I461*I$435</f>
        <v>0</v>
      </c>
      <c r="J499" s="232">
        <f t="shared" si="365"/>
        <v>0</v>
      </c>
      <c r="K499" s="232">
        <f t="shared" si="365"/>
        <v>0</v>
      </c>
      <c r="L499" s="232">
        <f t="shared" si="365"/>
        <v>0</v>
      </c>
      <c r="M499" s="232">
        <f t="shared" si="365"/>
        <v>0</v>
      </c>
      <c r="N499" s="232">
        <f t="shared" si="365"/>
        <v>0</v>
      </c>
      <c r="O499" s="232">
        <f t="shared" si="365"/>
        <v>0</v>
      </c>
      <c r="P499" s="232">
        <f t="shared" si="365"/>
        <v>0</v>
      </c>
    </row>
    <row r="500" spans="3:16" hidden="1" outlineLevel="2">
      <c r="C500" s="73" t="str">
        <v>SpareOfferB23</v>
      </c>
      <c r="D500" t="s">
        <v>301</v>
      </c>
      <c r="F500" s="234">
        <f t="shared" si="322"/>
        <v>0</v>
      </c>
      <c r="H500" s="232">
        <f t="shared" ref="H500" si="366">H462*H$435</f>
        <v>0</v>
      </c>
      <c r="I500" s="232">
        <f t="shared" ref="I500:P500" si="367">I462*I$435</f>
        <v>0</v>
      </c>
      <c r="J500" s="232">
        <f t="shared" si="367"/>
        <v>0</v>
      </c>
      <c r="K500" s="232">
        <f t="shared" si="367"/>
        <v>0</v>
      </c>
      <c r="L500" s="232">
        <f t="shared" si="367"/>
        <v>0</v>
      </c>
      <c r="M500" s="232">
        <f t="shared" si="367"/>
        <v>0</v>
      </c>
      <c r="N500" s="232">
        <f t="shared" si="367"/>
        <v>0</v>
      </c>
      <c r="O500" s="232">
        <f t="shared" si="367"/>
        <v>0</v>
      </c>
      <c r="P500" s="232">
        <f t="shared" si="367"/>
        <v>0</v>
      </c>
    </row>
    <row r="501" spans="3:16" hidden="1" outlineLevel="2">
      <c r="C501" s="73" t="str">
        <v>SpareOfferB24</v>
      </c>
      <c r="D501" t="s">
        <v>301</v>
      </c>
      <c r="F501" s="234">
        <f t="shared" si="322"/>
        <v>0</v>
      </c>
      <c r="H501" s="232">
        <f t="shared" ref="H501" si="368">H463*H$435</f>
        <v>0</v>
      </c>
      <c r="I501" s="232">
        <f t="shared" ref="I501:P501" si="369">I463*I$435</f>
        <v>0</v>
      </c>
      <c r="J501" s="232">
        <f t="shared" si="369"/>
        <v>0</v>
      </c>
      <c r="K501" s="232">
        <f t="shared" si="369"/>
        <v>0</v>
      </c>
      <c r="L501" s="232">
        <f t="shared" si="369"/>
        <v>0</v>
      </c>
      <c r="M501" s="232">
        <f t="shared" si="369"/>
        <v>0</v>
      </c>
      <c r="N501" s="232">
        <f t="shared" si="369"/>
        <v>0</v>
      </c>
      <c r="O501" s="232">
        <f t="shared" si="369"/>
        <v>0</v>
      </c>
      <c r="P501" s="232">
        <f t="shared" si="369"/>
        <v>0</v>
      </c>
    </row>
    <row r="502" spans="3:16" hidden="1" outlineLevel="2">
      <c r="C502" s="73" t="str">
        <v>SpareOfferB25</v>
      </c>
      <c r="D502" t="s">
        <v>301</v>
      </c>
      <c r="F502" s="234">
        <f t="shared" si="322"/>
        <v>0</v>
      </c>
      <c r="H502" s="232">
        <f t="shared" ref="H502" si="370">H464*H$435</f>
        <v>0</v>
      </c>
      <c r="I502" s="232">
        <f t="shared" ref="I502:P502" si="371">I464*I$435</f>
        <v>0</v>
      </c>
      <c r="J502" s="232">
        <f t="shared" si="371"/>
        <v>0</v>
      </c>
      <c r="K502" s="232">
        <f t="shared" si="371"/>
        <v>0</v>
      </c>
      <c r="L502" s="232">
        <f t="shared" si="371"/>
        <v>0</v>
      </c>
      <c r="M502" s="232">
        <f t="shared" si="371"/>
        <v>0</v>
      </c>
      <c r="N502" s="232">
        <f t="shared" si="371"/>
        <v>0</v>
      </c>
      <c r="O502" s="232">
        <f t="shared" si="371"/>
        <v>0</v>
      </c>
      <c r="P502" s="232">
        <f t="shared" si="371"/>
        <v>0</v>
      </c>
    </row>
    <row r="503" spans="3:16" hidden="1" outlineLevel="2">
      <c r="C503" s="73" t="str">
        <v>SpareOfferB26</v>
      </c>
      <c r="D503" t="s">
        <v>301</v>
      </c>
      <c r="F503" s="234">
        <f t="shared" si="322"/>
        <v>0</v>
      </c>
      <c r="H503" s="232">
        <f t="shared" ref="H503" si="372">H465*H$435</f>
        <v>0</v>
      </c>
      <c r="I503" s="232">
        <f t="shared" ref="I503:P503" si="373">I465*I$435</f>
        <v>0</v>
      </c>
      <c r="J503" s="232">
        <f t="shared" si="373"/>
        <v>0</v>
      </c>
      <c r="K503" s="232">
        <f t="shared" si="373"/>
        <v>0</v>
      </c>
      <c r="L503" s="232">
        <f t="shared" si="373"/>
        <v>0</v>
      </c>
      <c r="M503" s="232">
        <f t="shared" si="373"/>
        <v>0</v>
      </c>
      <c r="N503" s="232">
        <f t="shared" si="373"/>
        <v>0</v>
      </c>
      <c r="O503" s="232">
        <f t="shared" si="373"/>
        <v>0</v>
      </c>
      <c r="P503" s="232">
        <f t="shared" si="373"/>
        <v>0</v>
      </c>
    </row>
    <row r="504" spans="3:16" hidden="1" outlineLevel="2">
      <c r="C504" s="73" t="str">
        <v>SpareOfferB27</v>
      </c>
      <c r="D504" t="s">
        <v>301</v>
      </c>
      <c r="F504" s="234">
        <f t="shared" si="322"/>
        <v>0</v>
      </c>
      <c r="H504" s="232">
        <f t="shared" ref="H504" si="374">H466*H$435</f>
        <v>0</v>
      </c>
      <c r="I504" s="232">
        <f t="shared" ref="I504:P504" si="375">I466*I$435</f>
        <v>0</v>
      </c>
      <c r="J504" s="232">
        <f t="shared" si="375"/>
        <v>0</v>
      </c>
      <c r="K504" s="232">
        <f t="shared" si="375"/>
        <v>0</v>
      </c>
      <c r="L504" s="232">
        <f t="shared" si="375"/>
        <v>0</v>
      </c>
      <c r="M504" s="232">
        <f t="shared" si="375"/>
        <v>0</v>
      </c>
      <c r="N504" s="232">
        <f t="shared" si="375"/>
        <v>0</v>
      </c>
      <c r="O504" s="232">
        <f t="shared" si="375"/>
        <v>0</v>
      </c>
      <c r="P504" s="232">
        <f t="shared" si="375"/>
        <v>0</v>
      </c>
    </row>
    <row r="505" spans="3:16" hidden="1" outlineLevel="2">
      <c r="C505" s="73" t="str">
        <v>SpareOfferB28</v>
      </c>
      <c r="D505" t="s">
        <v>301</v>
      </c>
      <c r="F505" s="234">
        <f t="shared" si="322"/>
        <v>0</v>
      </c>
      <c r="H505" s="232">
        <f t="shared" ref="H505" si="376">H467*H$435</f>
        <v>0</v>
      </c>
      <c r="I505" s="232">
        <f t="shared" ref="I505:P505" si="377">I467*I$435</f>
        <v>0</v>
      </c>
      <c r="J505" s="232">
        <f t="shared" si="377"/>
        <v>0</v>
      </c>
      <c r="K505" s="232">
        <f t="shared" si="377"/>
        <v>0</v>
      </c>
      <c r="L505" s="232">
        <f t="shared" si="377"/>
        <v>0</v>
      </c>
      <c r="M505" s="232">
        <f t="shared" si="377"/>
        <v>0</v>
      </c>
      <c r="N505" s="232">
        <f t="shared" si="377"/>
        <v>0</v>
      </c>
      <c r="O505" s="232">
        <f t="shared" si="377"/>
        <v>0</v>
      </c>
      <c r="P505" s="232">
        <f t="shared" si="377"/>
        <v>0</v>
      </c>
    </row>
    <row r="506" spans="3:16" hidden="1" outlineLevel="2">
      <c r="C506" s="73" t="str">
        <v>SpareOfferB29</v>
      </c>
      <c r="D506" t="s">
        <v>301</v>
      </c>
      <c r="F506" s="234">
        <f t="shared" si="322"/>
        <v>0</v>
      </c>
      <c r="H506" s="232">
        <f t="shared" ref="H506" si="378">H468*H$435</f>
        <v>0</v>
      </c>
      <c r="I506" s="232">
        <f t="shared" ref="I506:P506" si="379">I468*I$435</f>
        <v>0</v>
      </c>
      <c r="J506" s="232">
        <f t="shared" si="379"/>
        <v>0</v>
      </c>
      <c r="K506" s="232">
        <f t="shared" si="379"/>
        <v>0</v>
      </c>
      <c r="L506" s="232">
        <f t="shared" si="379"/>
        <v>0</v>
      </c>
      <c r="M506" s="232">
        <f t="shared" si="379"/>
        <v>0</v>
      </c>
      <c r="N506" s="232">
        <f t="shared" si="379"/>
        <v>0</v>
      </c>
      <c r="O506" s="232">
        <f t="shared" si="379"/>
        <v>0</v>
      </c>
      <c r="P506" s="232">
        <f t="shared" si="379"/>
        <v>0</v>
      </c>
    </row>
    <row r="507" spans="3:16" hidden="1" outlineLevel="2">
      <c r="C507" s="73" t="str">
        <v>SpareOfferB30</v>
      </c>
      <c r="D507" t="s">
        <v>301</v>
      </c>
      <c r="F507" s="234">
        <f t="shared" si="322"/>
        <v>0</v>
      </c>
      <c r="H507" s="232">
        <f t="shared" ref="H507" si="380">H469*H$435</f>
        <v>0</v>
      </c>
      <c r="I507" s="232">
        <f t="shared" ref="I507:P507" si="381">I469*I$435</f>
        <v>0</v>
      </c>
      <c r="J507" s="232">
        <f t="shared" si="381"/>
        <v>0</v>
      </c>
      <c r="K507" s="232">
        <f t="shared" si="381"/>
        <v>0</v>
      </c>
      <c r="L507" s="232">
        <f t="shared" si="381"/>
        <v>0</v>
      </c>
      <c r="M507" s="232">
        <f t="shared" si="381"/>
        <v>0</v>
      </c>
      <c r="N507" s="232">
        <f t="shared" si="381"/>
        <v>0</v>
      </c>
      <c r="O507" s="232">
        <f t="shared" si="381"/>
        <v>0</v>
      </c>
      <c r="P507" s="232">
        <f t="shared" si="381"/>
        <v>0</v>
      </c>
    </row>
    <row r="508" spans="3:16" hidden="1" outlineLevel="2">
      <c r="C508" s="73" t="str">
        <v>SpareOfferB31</v>
      </c>
      <c r="D508" t="s">
        <v>301</v>
      </c>
      <c r="F508" s="234">
        <f t="shared" si="322"/>
        <v>0</v>
      </c>
      <c r="H508" s="232">
        <f t="shared" ref="H508" si="382">H470*H$435</f>
        <v>0</v>
      </c>
      <c r="I508" s="232">
        <f t="shared" ref="I508:P508" si="383">I470*I$435</f>
        <v>0</v>
      </c>
      <c r="J508" s="232">
        <f t="shared" si="383"/>
        <v>0</v>
      </c>
      <c r="K508" s="232">
        <f t="shared" si="383"/>
        <v>0</v>
      </c>
      <c r="L508" s="232">
        <f t="shared" si="383"/>
        <v>0</v>
      </c>
      <c r="M508" s="232">
        <f t="shared" si="383"/>
        <v>0</v>
      </c>
      <c r="N508" s="232">
        <f t="shared" si="383"/>
        <v>0</v>
      </c>
      <c r="O508" s="232">
        <f t="shared" si="383"/>
        <v>0</v>
      </c>
      <c r="P508" s="232">
        <f t="shared" si="383"/>
        <v>0</v>
      </c>
    </row>
    <row r="509" spans="3:16" hidden="1" outlineLevel="2">
      <c r="C509" s="73" t="str">
        <v>SpareOfferB32</v>
      </c>
      <c r="D509" t="s">
        <v>301</v>
      </c>
      <c r="F509" s="234">
        <f t="shared" si="322"/>
        <v>0</v>
      </c>
      <c r="H509" s="232">
        <f t="shared" ref="H509" si="384">H471*H$435</f>
        <v>0</v>
      </c>
      <c r="I509" s="232">
        <f t="shared" ref="I509:P509" si="385">I471*I$435</f>
        <v>0</v>
      </c>
      <c r="J509" s="232">
        <f t="shared" si="385"/>
        <v>0</v>
      </c>
      <c r="K509" s="232">
        <f t="shared" si="385"/>
        <v>0</v>
      </c>
      <c r="L509" s="232">
        <f t="shared" si="385"/>
        <v>0</v>
      </c>
      <c r="M509" s="232">
        <f t="shared" si="385"/>
        <v>0</v>
      </c>
      <c r="N509" s="232">
        <f t="shared" si="385"/>
        <v>0</v>
      </c>
      <c r="O509" s="232">
        <f t="shared" si="385"/>
        <v>0</v>
      </c>
      <c r="P509" s="232">
        <f t="shared" si="385"/>
        <v>0</v>
      </c>
    </row>
    <row r="510" spans="3:16" hidden="1" outlineLevel="2">
      <c r="C510" s="73" t="str">
        <v>SpareOfferB33</v>
      </c>
      <c r="D510" t="s">
        <v>301</v>
      </c>
      <c r="F510" s="234">
        <f t="shared" si="322"/>
        <v>0</v>
      </c>
      <c r="H510" s="232">
        <f t="shared" ref="H510" si="386">H472*H$435</f>
        <v>0</v>
      </c>
      <c r="I510" s="232">
        <f t="shared" ref="I510:P510" si="387">I472*I$435</f>
        <v>0</v>
      </c>
      <c r="J510" s="232">
        <f t="shared" si="387"/>
        <v>0</v>
      </c>
      <c r="K510" s="232">
        <f t="shared" si="387"/>
        <v>0</v>
      </c>
      <c r="L510" s="232">
        <f t="shared" si="387"/>
        <v>0</v>
      </c>
      <c r="M510" s="232">
        <f t="shared" si="387"/>
        <v>0</v>
      </c>
      <c r="N510" s="232">
        <f t="shared" si="387"/>
        <v>0</v>
      </c>
      <c r="O510" s="232">
        <f t="shared" si="387"/>
        <v>0</v>
      </c>
      <c r="P510" s="232">
        <f t="shared" si="387"/>
        <v>0</v>
      </c>
    </row>
    <row r="511" spans="3:16" hidden="1" outlineLevel="2">
      <c r="C511" s="73" t="str">
        <v>SpareOfferB34</v>
      </c>
      <c r="D511" t="s">
        <v>301</v>
      </c>
      <c r="F511" s="234">
        <f t="shared" si="322"/>
        <v>0</v>
      </c>
      <c r="H511" s="232">
        <f t="shared" ref="H511" si="388">H473*H$435</f>
        <v>0</v>
      </c>
      <c r="I511" s="232">
        <f t="shared" ref="I511:P511" si="389">I473*I$435</f>
        <v>0</v>
      </c>
      <c r="J511" s="232">
        <f t="shared" si="389"/>
        <v>0</v>
      </c>
      <c r="K511" s="232">
        <f t="shared" si="389"/>
        <v>0</v>
      </c>
      <c r="L511" s="232">
        <f t="shared" si="389"/>
        <v>0</v>
      </c>
      <c r="M511" s="232">
        <f t="shared" si="389"/>
        <v>0</v>
      </c>
      <c r="N511" s="232">
        <f t="shared" si="389"/>
        <v>0</v>
      </c>
      <c r="O511" s="232">
        <f t="shared" si="389"/>
        <v>0</v>
      </c>
      <c r="P511" s="232">
        <f t="shared" si="389"/>
        <v>0</v>
      </c>
    </row>
    <row r="512" spans="3:16" outlineLevel="1" collapsed="1">
      <c r="C512" s="73" t="str">
        <v>SpareOfferB35</v>
      </c>
      <c r="D512" t="s">
        <v>301</v>
      </c>
      <c r="F512" s="234">
        <f>SUM(H512:P512)</f>
        <v>0</v>
      </c>
      <c r="H512" s="232">
        <f t="shared" ref="H512" si="390">H474*H$435</f>
        <v>0</v>
      </c>
      <c r="I512" s="232">
        <f t="shared" ref="I512:P512" si="391">I474*I$435</f>
        <v>0</v>
      </c>
      <c r="J512" s="232">
        <f t="shared" si="391"/>
        <v>0</v>
      </c>
      <c r="K512" s="232">
        <f t="shared" si="391"/>
        <v>0</v>
      </c>
      <c r="L512" s="232">
        <f t="shared" si="391"/>
        <v>0</v>
      </c>
      <c r="M512" s="232">
        <f t="shared" si="391"/>
        <v>0</v>
      </c>
      <c r="N512" s="232">
        <f t="shared" si="391"/>
        <v>0</v>
      </c>
      <c r="O512" s="232">
        <f t="shared" si="391"/>
        <v>0</v>
      </c>
      <c r="P512" s="232">
        <f t="shared" si="391"/>
        <v>0</v>
      </c>
    </row>
    <row r="514" spans="1:16" s="220" customFormat="1">
      <c r="A514" s="220">
        <v>3</v>
      </c>
      <c r="B514" s="221" t="str">
        <f>INDEX(segments,A514)</f>
        <v>SpareSegmentC</v>
      </c>
      <c r="C514" s="207"/>
    </row>
    <row r="515" spans="1:16" outlineLevel="1"/>
    <row r="516" spans="1:16" ht="34.5" outlineLevel="1">
      <c r="B516" s="91" t="s">
        <v>341</v>
      </c>
      <c r="H516" s="1" t="str">
        <f t="array" ref="H516:P516">options.selected.roaming.detailed</f>
        <v>Roaming voice (EEA)</v>
      </c>
      <c r="I516" s="1" t="str">
        <v>Roaming voice (non-EEA)</v>
      </c>
      <c r="J516" s="1" t="str">
        <v>Roaming CF (EEA)</v>
      </c>
      <c r="K516" s="1" t="str">
        <v>Roaming CF (non-EEA)</v>
      </c>
      <c r="L516" s="1" t="str">
        <v>Roaming messages (EEA)</v>
      </c>
      <c r="M516" s="1" t="str">
        <v>Roaming messages (non-EEA)</v>
      </c>
      <c r="N516" s="1" t="str">
        <v>Roaming data (EEA)</v>
      </c>
      <c r="O516" s="1" t="str">
        <v>Roaming data (non-EEA)</v>
      </c>
      <c r="P516" s="1" t="str">
        <v>Spare 1</v>
      </c>
    </row>
    <row r="517" spans="1:16" outlineLevel="1">
      <c r="C517" t="s">
        <v>341</v>
      </c>
      <c r="D517" t="s">
        <v>338</v>
      </c>
      <c r="H517" s="239">
        <f t="array" ref="H517:P517">Roaming.IC</f>
        <v>0</v>
      </c>
      <c r="I517" s="239">
        <v>0</v>
      </c>
      <c r="J517" s="239">
        <v>0</v>
      </c>
      <c r="K517" s="239">
        <v>0</v>
      </c>
      <c r="L517" s="239">
        <v>0</v>
      </c>
      <c r="M517" s="239">
        <v>0</v>
      </c>
      <c r="N517" s="239">
        <v>0</v>
      </c>
      <c r="O517" s="239">
        <v>0</v>
      </c>
      <c r="P517" s="239">
        <v>0</v>
      </c>
    </row>
    <row r="518" spans="1:16" outlineLevel="1"/>
    <row r="519" spans="1:16" outlineLevel="1">
      <c r="H519">
        <f t="shared" ref="H519:P519" si="392">MATCH(H520,demand.descriptions.short,0)</f>
        <v>10</v>
      </c>
      <c r="I519">
        <f t="shared" si="392"/>
        <v>11</v>
      </c>
      <c r="J519">
        <f t="shared" si="392"/>
        <v>12</v>
      </c>
      <c r="K519">
        <f t="shared" si="392"/>
        <v>13</v>
      </c>
      <c r="L519">
        <f t="shared" si="392"/>
        <v>15</v>
      </c>
      <c r="M519">
        <f t="shared" si="392"/>
        <v>16</v>
      </c>
      <c r="N519">
        <f t="shared" si="392"/>
        <v>18</v>
      </c>
      <c r="O519">
        <f t="shared" si="392"/>
        <v>19</v>
      </c>
      <c r="P519">
        <f t="shared" si="392"/>
        <v>23</v>
      </c>
    </row>
    <row r="520" spans="1:16" ht="34.5" outlineLevel="1">
      <c r="B520" s="91" t="s">
        <v>194</v>
      </c>
      <c r="F520" s="119" t="s">
        <v>223</v>
      </c>
      <c r="H520" s="1" t="str">
        <f t="array" ref="H520:P520">options.selected.roaming.detailed</f>
        <v>Roaming voice (EEA)</v>
      </c>
      <c r="I520" s="1" t="str">
        <v>Roaming voice (non-EEA)</v>
      </c>
      <c r="J520" s="1" t="str">
        <v>Roaming CF (EEA)</v>
      </c>
      <c r="K520" s="1" t="str">
        <v>Roaming CF (non-EEA)</v>
      </c>
      <c r="L520" s="1" t="str">
        <v>Roaming messages (EEA)</v>
      </c>
      <c r="M520" s="1" t="str">
        <v>Roaming messages (non-EEA)</v>
      </c>
      <c r="N520" s="1" t="str">
        <v>Roaming data (EEA)</v>
      </c>
      <c r="O520" s="1" t="str">
        <v>Roaming data (non-EEA)</v>
      </c>
      <c r="P520" s="1" t="str">
        <v>Spare 1</v>
      </c>
    </row>
    <row r="521" spans="1:16" outlineLevel="1">
      <c r="C521" s="91" t="s">
        <v>222</v>
      </c>
      <c r="D521" t="s">
        <v>174</v>
      </c>
      <c r="H521" s="106">
        <f>SUMPRODUCT(H522:H556,$F522:$F556)</f>
        <v>0</v>
      </c>
      <c r="I521" s="106">
        <f t="shared" ref="I521:P521" si="393">SUMPRODUCT(I522:I556,$F522:$F556)</f>
        <v>0</v>
      </c>
      <c r="J521" s="106">
        <f t="shared" si="393"/>
        <v>0</v>
      </c>
      <c r="K521" s="106">
        <f t="shared" si="393"/>
        <v>0</v>
      </c>
      <c r="L521" s="106">
        <f t="shared" si="393"/>
        <v>0</v>
      </c>
      <c r="M521" s="106">
        <f t="shared" si="393"/>
        <v>0</v>
      </c>
      <c r="N521" s="106">
        <f t="shared" si="393"/>
        <v>0</v>
      </c>
      <c r="O521" s="106">
        <f t="shared" si="393"/>
        <v>0</v>
      </c>
      <c r="P521" s="106">
        <f t="shared" si="393"/>
        <v>0</v>
      </c>
    </row>
    <row r="522" spans="1:16" outlineLevel="1">
      <c r="B522">
        <f t="shared" ref="B522:B556" si="394">MATCH(C522,offers.segment.all,0)</f>
        <v>71</v>
      </c>
      <c r="C522" s="73" t="str">
        <f t="array" ref="C522:C556">offers.segment.3</f>
        <v>SpareOfferC1</v>
      </c>
      <c r="D522" t="s">
        <v>174</v>
      </c>
      <c r="F522" s="87">
        <f t="array" ref="F522:F556">subscription.split.segment.3</f>
        <v>0</v>
      </c>
      <c r="H522" s="230">
        <f t="shared" ref="H522:P531" si="395">INDEX(per.sub.volumes.by.demand.descriptions,$B522,H$519)</f>
        <v>0</v>
      </c>
      <c r="I522" s="230">
        <f t="shared" si="395"/>
        <v>0</v>
      </c>
      <c r="J522" s="230">
        <f t="shared" si="395"/>
        <v>0</v>
      </c>
      <c r="K522" s="230">
        <f t="shared" si="395"/>
        <v>0</v>
      </c>
      <c r="L522" s="230">
        <f t="shared" si="395"/>
        <v>0</v>
      </c>
      <c r="M522" s="230">
        <f t="shared" si="395"/>
        <v>0</v>
      </c>
      <c r="N522" s="230">
        <f t="shared" si="395"/>
        <v>0</v>
      </c>
      <c r="O522" s="230">
        <f t="shared" si="395"/>
        <v>0</v>
      </c>
      <c r="P522" s="230">
        <f t="shared" si="395"/>
        <v>0</v>
      </c>
    </row>
    <row r="523" spans="1:16" hidden="1" outlineLevel="2">
      <c r="B523">
        <f t="shared" si="394"/>
        <v>72</v>
      </c>
      <c r="C523" s="73" t="str">
        <v>SpareOfferC2</v>
      </c>
      <c r="D523" t="s">
        <v>174</v>
      </c>
      <c r="F523" s="87">
        <v>0</v>
      </c>
      <c r="H523" s="230">
        <f t="shared" si="395"/>
        <v>0</v>
      </c>
      <c r="I523" s="230">
        <f t="shared" si="395"/>
        <v>0</v>
      </c>
      <c r="J523" s="230">
        <f t="shared" si="395"/>
        <v>0</v>
      </c>
      <c r="K523" s="230">
        <f t="shared" si="395"/>
        <v>0</v>
      </c>
      <c r="L523" s="230">
        <f t="shared" si="395"/>
        <v>0</v>
      </c>
      <c r="M523" s="230">
        <f t="shared" si="395"/>
        <v>0</v>
      </c>
      <c r="N523" s="230">
        <f t="shared" si="395"/>
        <v>0</v>
      </c>
      <c r="O523" s="230">
        <f t="shared" si="395"/>
        <v>0</v>
      </c>
      <c r="P523" s="230">
        <f t="shared" si="395"/>
        <v>0</v>
      </c>
    </row>
    <row r="524" spans="1:16" hidden="1" outlineLevel="2">
      <c r="B524">
        <f t="shared" si="394"/>
        <v>73</v>
      </c>
      <c r="C524" s="73" t="str">
        <v>SpareOfferC3</v>
      </c>
      <c r="D524" t="s">
        <v>174</v>
      </c>
      <c r="F524" s="87">
        <v>0</v>
      </c>
      <c r="H524" s="230">
        <f t="shared" si="395"/>
        <v>0</v>
      </c>
      <c r="I524" s="230">
        <f t="shared" si="395"/>
        <v>0</v>
      </c>
      <c r="J524" s="230">
        <f t="shared" si="395"/>
        <v>0</v>
      </c>
      <c r="K524" s="230">
        <f t="shared" si="395"/>
        <v>0</v>
      </c>
      <c r="L524" s="230">
        <f t="shared" si="395"/>
        <v>0</v>
      </c>
      <c r="M524" s="230">
        <f t="shared" si="395"/>
        <v>0</v>
      </c>
      <c r="N524" s="230">
        <f t="shared" si="395"/>
        <v>0</v>
      </c>
      <c r="O524" s="230">
        <f t="shared" si="395"/>
        <v>0</v>
      </c>
      <c r="P524" s="230">
        <f t="shared" si="395"/>
        <v>0</v>
      </c>
    </row>
    <row r="525" spans="1:16" hidden="1" outlineLevel="2">
      <c r="B525">
        <f t="shared" si="394"/>
        <v>74</v>
      </c>
      <c r="C525" s="73" t="str">
        <v>SpareOfferC4</v>
      </c>
      <c r="D525" t="s">
        <v>174</v>
      </c>
      <c r="F525" s="87">
        <v>0</v>
      </c>
      <c r="H525" s="230">
        <f t="shared" si="395"/>
        <v>0</v>
      </c>
      <c r="I525" s="230">
        <f t="shared" si="395"/>
        <v>0</v>
      </c>
      <c r="J525" s="230">
        <f t="shared" si="395"/>
        <v>0</v>
      </c>
      <c r="K525" s="230">
        <f t="shared" si="395"/>
        <v>0</v>
      </c>
      <c r="L525" s="230">
        <f t="shared" si="395"/>
        <v>0</v>
      </c>
      <c r="M525" s="230">
        <f t="shared" si="395"/>
        <v>0</v>
      </c>
      <c r="N525" s="230">
        <f t="shared" si="395"/>
        <v>0</v>
      </c>
      <c r="O525" s="230">
        <f t="shared" si="395"/>
        <v>0</v>
      </c>
      <c r="P525" s="230">
        <f t="shared" si="395"/>
        <v>0</v>
      </c>
    </row>
    <row r="526" spans="1:16" hidden="1" outlineLevel="2">
      <c r="B526">
        <f t="shared" si="394"/>
        <v>75</v>
      </c>
      <c r="C526" s="73" t="str">
        <v>SpareOfferC5</v>
      </c>
      <c r="D526" t="s">
        <v>174</v>
      </c>
      <c r="F526" s="87">
        <v>0</v>
      </c>
      <c r="H526" s="230">
        <f t="shared" si="395"/>
        <v>0</v>
      </c>
      <c r="I526" s="230">
        <f t="shared" si="395"/>
        <v>0</v>
      </c>
      <c r="J526" s="230">
        <f t="shared" si="395"/>
        <v>0</v>
      </c>
      <c r="K526" s="230">
        <f t="shared" si="395"/>
        <v>0</v>
      </c>
      <c r="L526" s="230">
        <f t="shared" si="395"/>
        <v>0</v>
      </c>
      <c r="M526" s="230">
        <f t="shared" si="395"/>
        <v>0</v>
      </c>
      <c r="N526" s="230">
        <f t="shared" si="395"/>
        <v>0</v>
      </c>
      <c r="O526" s="230">
        <f t="shared" si="395"/>
        <v>0</v>
      </c>
      <c r="P526" s="230">
        <f t="shared" si="395"/>
        <v>0</v>
      </c>
    </row>
    <row r="527" spans="1:16" hidden="1" outlineLevel="2">
      <c r="B527">
        <f t="shared" si="394"/>
        <v>76</v>
      </c>
      <c r="C527" s="73" t="str">
        <v>SpareOfferC6</v>
      </c>
      <c r="D527" t="s">
        <v>174</v>
      </c>
      <c r="F527" s="87">
        <v>0</v>
      </c>
      <c r="H527" s="230">
        <f t="shared" si="395"/>
        <v>0</v>
      </c>
      <c r="I527" s="230">
        <f t="shared" si="395"/>
        <v>0</v>
      </c>
      <c r="J527" s="230">
        <f t="shared" si="395"/>
        <v>0</v>
      </c>
      <c r="K527" s="230">
        <f t="shared" si="395"/>
        <v>0</v>
      </c>
      <c r="L527" s="230">
        <f t="shared" si="395"/>
        <v>0</v>
      </c>
      <c r="M527" s="230">
        <f t="shared" si="395"/>
        <v>0</v>
      </c>
      <c r="N527" s="230">
        <f t="shared" si="395"/>
        <v>0</v>
      </c>
      <c r="O527" s="230">
        <f t="shared" si="395"/>
        <v>0</v>
      </c>
      <c r="P527" s="230">
        <f t="shared" si="395"/>
        <v>0</v>
      </c>
    </row>
    <row r="528" spans="1:16" hidden="1" outlineLevel="2">
      <c r="B528">
        <f t="shared" si="394"/>
        <v>77</v>
      </c>
      <c r="C528" s="73" t="str">
        <v>SpareOfferC7</v>
      </c>
      <c r="D528" t="s">
        <v>174</v>
      </c>
      <c r="F528" s="87">
        <v>0</v>
      </c>
      <c r="H528" s="230">
        <f t="shared" si="395"/>
        <v>0</v>
      </c>
      <c r="I528" s="230">
        <f t="shared" si="395"/>
        <v>0</v>
      </c>
      <c r="J528" s="230">
        <f t="shared" si="395"/>
        <v>0</v>
      </c>
      <c r="K528" s="230">
        <f t="shared" si="395"/>
        <v>0</v>
      </c>
      <c r="L528" s="230">
        <f t="shared" si="395"/>
        <v>0</v>
      </c>
      <c r="M528" s="230">
        <f t="shared" si="395"/>
        <v>0</v>
      </c>
      <c r="N528" s="230">
        <f t="shared" si="395"/>
        <v>0</v>
      </c>
      <c r="O528" s="230">
        <f t="shared" si="395"/>
        <v>0</v>
      </c>
      <c r="P528" s="230">
        <f t="shared" si="395"/>
        <v>0</v>
      </c>
    </row>
    <row r="529" spans="2:16" hidden="1" outlineLevel="2">
      <c r="B529">
        <f t="shared" si="394"/>
        <v>78</v>
      </c>
      <c r="C529" s="73" t="str">
        <v>SpareOfferC8</v>
      </c>
      <c r="D529" t="s">
        <v>174</v>
      </c>
      <c r="F529" s="87">
        <v>0</v>
      </c>
      <c r="H529" s="230">
        <f t="shared" si="395"/>
        <v>0</v>
      </c>
      <c r="I529" s="230">
        <f t="shared" si="395"/>
        <v>0</v>
      </c>
      <c r="J529" s="230">
        <f t="shared" si="395"/>
        <v>0</v>
      </c>
      <c r="K529" s="230">
        <f t="shared" si="395"/>
        <v>0</v>
      </c>
      <c r="L529" s="230">
        <f t="shared" si="395"/>
        <v>0</v>
      </c>
      <c r="M529" s="230">
        <f t="shared" si="395"/>
        <v>0</v>
      </c>
      <c r="N529" s="230">
        <f t="shared" si="395"/>
        <v>0</v>
      </c>
      <c r="O529" s="230">
        <f t="shared" si="395"/>
        <v>0</v>
      </c>
      <c r="P529" s="230">
        <f t="shared" si="395"/>
        <v>0</v>
      </c>
    </row>
    <row r="530" spans="2:16" hidden="1" outlineLevel="2">
      <c r="B530">
        <f t="shared" si="394"/>
        <v>79</v>
      </c>
      <c r="C530" s="73" t="str">
        <v>SpareOfferC9</v>
      </c>
      <c r="D530" t="s">
        <v>174</v>
      </c>
      <c r="F530" s="87">
        <v>0</v>
      </c>
      <c r="H530" s="230">
        <f t="shared" si="395"/>
        <v>0</v>
      </c>
      <c r="I530" s="230">
        <f t="shared" si="395"/>
        <v>0</v>
      </c>
      <c r="J530" s="230">
        <f t="shared" si="395"/>
        <v>0</v>
      </c>
      <c r="K530" s="230">
        <f t="shared" si="395"/>
        <v>0</v>
      </c>
      <c r="L530" s="230">
        <f t="shared" si="395"/>
        <v>0</v>
      </c>
      <c r="M530" s="230">
        <f t="shared" si="395"/>
        <v>0</v>
      </c>
      <c r="N530" s="230">
        <f t="shared" si="395"/>
        <v>0</v>
      </c>
      <c r="O530" s="230">
        <f t="shared" si="395"/>
        <v>0</v>
      </c>
      <c r="P530" s="230">
        <f t="shared" si="395"/>
        <v>0</v>
      </c>
    </row>
    <row r="531" spans="2:16" hidden="1" outlineLevel="2">
      <c r="B531">
        <f t="shared" si="394"/>
        <v>80</v>
      </c>
      <c r="C531" s="73" t="str">
        <v>SpareOfferC10</v>
      </c>
      <c r="D531" t="s">
        <v>174</v>
      </c>
      <c r="F531" s="87">
        <v>0</v>
      </c>
      <c r="H531" s="230">
        <f t="shared" si="395"/>
        <v>0</v>
      </c>
      <c r="I531" s="230">
        <f t="shared" si="395"/>
        <v>0</v>
      </c>
      <c r="J531" s="230">
        <f t="shared" si="395"/>
        <v>0</v>
      </c>
      <c r="K531" s="230">
        <f t="shared" si="395"/>
        <v>0</v>
      </c>
      <c r="L531" s="230">
        <f t="shared" si="395"/>
        <v>0</v>
      </c>
      <c r="M531" s="230">
        <f t="shared" si="395"/>
        <v>0</v>
      </c>
      <c r="N531" s="230">
        <f t="shared" si="395"/>
        <v>0</v>
      </c>
      <c r="O531" s="230">
        <f t="shared" si="395"/>
        <v>0</v>
      </c>
      <c r="P531" s="230">
        <f t="shared" si="395"/>
        <v>0</v>
      </c>
    </row>
    <row r="532" spans="2:16" hidden="1" outlineLevel="2">
      <c r="B532">
        <f t="shared" si="394"/>
        <v>81</v>
      </c>
      <c r="C532" s="73" t="str">
        <v>SpareOfferC11</v>
      </c>
      <c r="D532" t="s">
        <v>174</v>
      </c>
      <c r="F532" s="87">
        <v>0</v>
      </c>
      <c r="H532" s="230">
        <f t="shared" ref="H532:P541" si="396">INDEX(per.sub.volumes.by.demand.descriptions,$B532,H$519)</f>
        <v>0</v>
      </c>
      <c r="I532" s="230">
        <f t="shared" si="396"/>
        <v>0</v>
      </c>
      <c r="J532" s="230">
        <f t="shared" si="396"/>
        <v>0</v>
      </c>
      <c r="K532" s="230">
        <f t="shared" si="396"/>
        <v>0</v>
      </c>
      <c r="L532" s="230">
        <f t="shared" si="396"/>
        <v>0</v>
      </c>
      <c r="M532" s="230">
        <f t="shared" si="396"/>
        <v>0</v>
      </c>
      <c r="N532" s="230">
        <f t="shared" si="396"/>
        <v>0</v>
      </c>
      <c r="O532" s="230">
        <f t="shared" si="396"/>
        <v>0</v>
      </c>
      <c r="P532" s="230">
        <f t="shared" si="396"/>
        <v>0</v>
      </c>
    </row>
    <row r="533" spans="2:16" hidden="1" outlineLevel="2">
      <c r="B533">
        <f t="shared" si="394"/>
        <v>82</v>
      </c>
      <c r="C533" s="73" t="str">
        <v>SpareOfferC12</v>
      </c>
      <c r="D533" t="s">
        <v>174</v>
      </c>
      <c r="F533" s="87">
        <v>0</v>
      </c>
      <c r="H533" s="230">
        <f t="shared" si="396"/>
        <v>0</v>
      </c>
      <c r="I533" s="230">
        <f t="shared" si="396"/>
        <v>0</v>
      </c>
      <c r="J533" s="230">
        <f t="shared" si="396"/>
        <v>0</v>
      </c>
      <c r="K533" s="230">
        <f t="shared" si="396"/>
        <v>0</v>
      </c>
      <c r="L533" s="230">
        <f t="shared" si="396"/>
        <v>0</v>
      </c>
      <c r="M533" s="230">
        <f t="shared" si="396"/>
        <v>0</v>
      </c>
      <c r="N533" s="230">
        <f t="shared" si="396"/>
        <v>0</v>
      </c>
      <c r="O533" s="230">
        <f t="shared" si="396"/>
        <v>0</v>
      </c>
      <c r="P533" s="230">
        <f t="shared" si="396"/>
        <v>0</v>
      </c>
    </row>
    <row r="534" spans="2:16" hidden="1" outlineLevel="2">
      <c r="B534">
        <f t="shared" si="394"/>
        <v>83</v>
      </c>
      <c r="C534" s="73" t="str">
        <v>SpareOfferC13</v>
      </c>
      <c r="D534" t="s">
        <v>174</v>
      </c>
      <c r="F534" s="87">
        <v>0</v>
      </c>
      <c r="H534" s="230">
        <f t="shared" si="396"/>
        <v>0</v>
      </c>
      <c r="I534" s="230">
        <f t="shared" si="396"/>
        <v>0</v>
      </c>
      <c r="J534" s="230">
        <f t="shared" si="396"/>
        <v>0</v>
      </c>
      <c r="K534" s="230">
        <f t="shared" si="396"/>
        <v>0</v>
      </c>
      <c r="L534" s="230">
        <f t="shared" si="396"/>
        <v>0</v>
      </c>
      <c r="M534" s="230">
        <f t="shared" si="396"/>
        <v>0</v>
      </c>
      <c r="N534" s="230">
        <f t="shared" si="396"/>
        <v>0</v>
      </c>
      <c r="O534" s="230">
        <f t="shared" si="396"/>
        <v>0</v>
      </c>
      <c r="P534" s="230">
        <f t="shared" si="396"/>
        <v>0</v>
      </c>
    </row>
    <row r="535" spans="2:16" hidden="1" outlineLevel="2">
      <c r="B535">
        <f t="shared" si="394"/>
        <v>84</v>
      </c>
      <c r="C535" s="73" t="str">
        <v>SpareOfferC14</v>
      </c>
      <c r="D535" t="s">
        <v>174</v>
      </c>
      <c r="F535" s="87">
        <v>0</v>
      </c>
      <c r="H535" s="230">
        <f t="shared" si="396"/>
        <v>0</v>
      </c>
      <c r="I535" s="230">
        <f t="shared" si="396"/>
        <v>0</v>
      </c>
      <c r="J535" s="230">
        <f t="shared" si="396"/>
        <v>0</v>
      </c>
      <c r="K535" s="230">
        <f t="shared" si="396"/>
        <v>0</v>
      </c>
      <c r="L535" s="230">
        <f t="shared" si="396"/>
        <v>0</v>
      </c>
      <c r="M535" s="230">
        <f t="shared" si="396"/>
        <v>0</v>
      </c>
      <c r="N535" s="230">
        <f t="shared" si="396"/>
        <v>0</v>
      </c>
      <c r="O535" s="230">
        <f t="shared" si="396"/>
        <v>0</v>
      </c>
      <c r="P535" s="230">
        <f t="shared" si="396"/>
        <v>0</v>
      </c>
    </row>
    <row r="536" spans="2:16" hidden="1" outlineLevel="2">
      <c r="B536">
        <f t="shared" si="394"/>
        <v>85</v>
      </c>
      <c r="C536" s="73" t="str">
        <v>SpareOfferC15</v>
      </c>
      <c r="D536" t="s">
        <v>174</v>
      </c>
      <c r="F536" s="87">
        <v>0</v>
      </c>
      <c r="H536" s="230">
        <f t="shared" si="396"/>
        <v>0</v>
      </c>
      <c r="I536" s="230">
        <f t="shared" si="396"/>
        <v>0</v>
      </c>
      <c r="J536" s="230">
        <f t="shared" si="396"/>
        <v>0</v>
      </c>
      <c r="K536" s="230">
        <f t="shared" si="396"/>
        <v>0</v>
      </c>
      <c r="L536" s="230">
        <f t="shared" si="396"/>
        <v>0</v>
      </c>
      <c r="M536" s="230">
        <f t="shared" si="396"/>
        <v>0</v>
      </c>
      <c r="N536" s="230">
        <f t="shared" si="396"/>
        <v>0</v>
      </c>
      <c r="O536" s="230">
        <f t="shared" si="396"/>
        <v>0</v>
      </c>
      <c r="P536" s="230">
        <f t="shared" si="396"/>
        <v>0</v>
      </c>
    </row>
    <row r="537" spans="2:16" hidden="1" outlineLevel="2">
      <c r="B537">
        <f t="shared" si="394"/>
        <v>86</v>
      </c>
      <c r="C537" s="73" t="str">
        <v>SpareOfferC16</v>
      </c>
      <c r="D537" t="s">
        <v>174</v>
      </c>
      <c r="F537" s="87">
        <v>0</v>
      </c>
      <c r="H537" s="230">
        <f t="shared" si="396"/>
        <v>0</v>
      </c>
      <c r="I537" s="230">
        <f t="shared" si="396"/>
        <v>0</v>
      </c>
      <c r="J537" s="230">
        <f t="shared" si="396"/>
        <v>0</v>
      </c>
      <c r="K537" s="230">
        <f t="shared" si="396"/>
        <v>0</v>
      </c>
      <c r="L537" s="230">
        <f t="shared" si="396"/>
        <v>0</v>
      </c>
      <c r="M537" s="230">
        <f t="shared" si="396"/>
        <v>0</v>
      </c>
      <c r="N537" s="230">
        <f t="shared" si="396"/>
        <v>0</v>
      </c>
      <c r="O537" s="230">
        <f t="shared" si="396"/>
        <v>0</v>
      </c>
      <c r="P537" s="230">
        <f t="shared" si="396"/>
        <v>0</v>
      </c>
    </row>
    <row r="538" spans="2:16" hidden="1" outlineLevel="2">
      <c r="B538">
        <f t="shared" si="394"/>
        <v>87</v>
      </c>
      <c r="C538" s="73" t="str">
        <v>SpareOfferC17</v>
      </c>
      <c r="D538" t="s">
        <v>174</v>
      </c>
      <c r="F538" s="87">
        <v>0</v>
      </c>
      <c r="H538" s="230">
        <f t="shared" si="396"/>
        <v>0</v>
      </c>
      <c r="I538" s="230">
        <f t="shared" si="396"/>
        <v>0</v>
      </c>
      <c r="J538" s="230">
        <f t="shared" si="396"/>
        <v>0</v>
      </c>
      <c r="K538" s="230">
        <f t="shared" si="396"/>
        <v>0</v>
      </c>
      <c r="L538" s="230">
        <f t="shared" si="396"/>
        <v>0</v>
      </c>
      <c r="M538" s="230">
        <f t="shared" si="396"/>
        <v>0</v>
      </c>
      <c r="N538" s="230">
        <f t="shared" si="396"/>
        <v>0</v>
      </c>
      <c r="O538" s="230">
        <f t="shared" si="396"/>
        <v>0</v>
      </c>
      <c r="P538" s="230">
        <f t="shared" si="396"/>
        <v>0</v>
      </c>
    </row>
    <row r="539" spans="2:16" hidden="1" outlineLevel="2">
      <c r="B539">
        <f t="shared" si="394"/>
        <v>88</v>
      </c>
      <c r="C539" s="73" t="str">
        <v>SpareOfferC18</v>
      </c>
      <c r="D539" t="s">
        <v>174</v>
      </c>
      <c r="F539" s="87">
        <v>0</v>
      </c>
      <c r="H539" s="230">
        <f t="shared" si="396"/>
        <v>0</v>
      </c>
      <c r="I539" s="230">
        <f t="shared" si="396"/>
        <v>0</v>
      </c>
      <c r="J539" s="230">
        <f t="shared" si="396"/>
        <v>0</v>
      </c>
      <c r="K539" s="230">
        <f t="shared" si="396"/>
        <v>0</v>
      </c>
      <c r="L539" s="230">
        <f t="shared" si="396"/>
        <v>0</v>
      </c>
      <c r="M539" s="230">
        <f t="shared" si="396"/>
        <v>0</v>
      </c>
      <c r="N539" s="230">
        <f t="shared" si="396"/>
        <v>0</v>
      </c>
      <c r="O539" s="230">
        <f t="shared" si="396"/>
        <v>0</v>
      </c>
      <c r="P539" s="230">
        <f t="shared" si="396"/>
        <v>0</v>
      </c>
    </row>
    <row r="540" spans="2:16" hidden="1" outlineLevel="2">
      <c r="B540">
        <f t="shared" si="394"/>
        <v>89</v>
      </c>
      <c r="C540" s="73" t="str">
        <v>SpareOfferC19</v>
      </c>
      <c r="D540" t="s">
        <v>174</v>
      </c>
      <c r="F540" s="87">
        <v>0</v>
      </c>
      <c r="H540" s="230">
        <f t="shared" si="396"/>
        <v>0</v>
      </c>
      <c r="I540" s="230">
        <f t="shared" si="396"/>
        <v>0</v>
      </c>
      <c r="J540" s="230">
        <f t="shared" si="396"/>
        <v>0</v>
      </c>
      <c r="K540" s="230">
        <f t="shared" si="396"/>
        <v>0</v>
      </c>
      <c r="L540" s="230">
        <f t="shared" si="396"/>
        <v>0</v>
      </c>
      <c r="M540" s="230">
        <f t="shared" si="396"/>
        <v>0</v>
      </c>
      <c r="N540" s="230">
        <f t="shared" si="396"/>
        <v>0</v>
      </c>
      <c r="O540" s="230">
        <f t="shared" si="396"/>
        <v>0</v>
      </c>
      <c r="P540" s="230">
        <f t="shared" si="396"/>
        <v>0</v>
      </c>
    </row>
    <row r="541" spans="2:16" hidden="1" outlineLevel="2">
      <c r="B541">
        <f t="shared" si="394"/>
        <v>90</v>
      </c>
      <c r="C541" s="73" t="str">
        <v>SpareOfferC20</v>
      </c>
      <c r="D541" t="s">
        <v>174</v>
      </c>
      <c r="F541" s="87">
        <v>0</v>
      </c>
      <c r="H541" s="230">
        <f t="shared" si="396"/>
        <v>0</v>
      </c>
      <c r="I541" s="230">
        <f t="shared" si="396"/>
        <v>0</v>
      </c>
      <c r="J541" s="230">
        <f t="shared" si="396"/>
        <v>0</v>
      </c>
      <c r="K541" s="230">
        <f t="shared" si="396"/>
        <v>0</v>
      </c>
      <c r="L541" s="230">
        <f t="shared" si="396"/>
        <v>0</v>
      </c>
      <c r="M541" s="230">
        <f t="shared" si="396"/>
        <v>0</v>
      </c>
      <c r="N541" s="230">
        <f t="shared" si="396"/>
        <v>0</v>
      </c>
      <c r="O541" s="230">
        <f t="shared" si="396"/>
        <v>0</v>
      </c>
      <c r="P541" s="230">
        <f t="shared" si="396"/>
        <v>0</v>
      </c>
    </row>
    <row r="542" spans="2:16" hidden="1" outlineLevel="2">
      <c r="B542">
        <f t="shared" si="394"/>
        <v>91</v>
      </c>
      <c r="C542" s="73" t="str">
        <v>SpareOfferC21</v>
      </c>
      <c r="D542" t="s">
        <v>174</v>
      </c>
      <c r="F542" s="87">
        <v>0</v>
      </c>
      <c r="H542" s="230">
        <f t="shared" ref="H542:P556" si="397">INDEX(per.sub.volumes.by.demand.descriptions,$B542,H$519)</f>
        <v>0</v>
      </c>
      <c r="I542" s="230">
        <f t="shared" si="397"/>
        <v>0</v>
      </c>
      <c r="J542" s="230">
        <f t="shared" si="397"/>
        <v>0</v>
      </c>
      <c r="K542" s="230">
        <f t="shared" si="397"/>
        <v>0</v>
      </c>
      <c r="L542" s="230">
        <f t="shared" si="397"/>
        <v>0</v>
      </c>
      <c r="M542" s="230">
        <f t="shared" si="397"/>
        <v>0</v>
      </c>
      <c r="N542" s="230">
        <f t="shared" si="397"/>
        <v>0</v>
      </c>
      <c r="O542" s="230">
        <f t="shared" si="397"/>
        <v>0</v>
      </c>
      <c r="P542" s="230">
        <f t="shared" si="397"/>
        <v>0</v>
      </c>
    </row>
    <row r="543" spans="2:16" hidden="1" outlineLevel="2">
      <c r="B543">
        <f t="shared" si="394"/>
        <v>92</v>
      </c>
      <c r="C543" s="73" t="str">
        <v>SpareOfferC22</v>
      </c>
      <c r="D543" t="s">
        <v>174</v>
      </c>
      <c r="F543" s="87">
        <v>0</v>
      </c>
      <c r="H543" s="230">
        <f t="shared" si="397"/>
        <v>0</v>
      </c>
      <c r="I543" s="230">
        <f t="shared" si="397"/>
        <v>0</v>
      </c>
      <c r="J543" s="230">
        <f t="shared" si="397"/>
        <v>0</v>
      </c>
      <c r="K543" s="230">
        <f t="shared" si="397"/>
        <v>0</v>
      </c>
      <c r="L543" s="230">
        <f t="shared" si="397"/>
        <v>0</v>
      </c>
      <c r="M543" s="230">
        <f t="shared" si="397"/>
        <v>0</v>
      </c>
      <c r="N543" s="230">
        <f t="shared" si="397"/>
        <v>0</v>
      </c>
      <c r="O543" s="230">
        <f t="shared" si="397"/>
        <v>0</v>
      </c>
      <c r="P543" s="230">
        <f t="shared" si="397"/>
        <v>0</v>
      </c>
    </row>
    <row r="544" spans="2:16" hidden="1" outlineLevel="2">
      <c r="B544">
        <f t="shared" si="394"/>
        <v>93</v>
      </c>
      <c r="C544" s="73" t="str">
        <v>SpareOfferC23</v>
      </c>
      <c r="D544" t="s">
        <v>174</v>
      </c>
      <c r="F544" s="87">
        <v>0</v>
      </c>
      <c r="H544" s="230">
        <f t="shared" si="397"/>
        <v>0</v>
      </c>
      <c r="I544" s="230">
        <f t="shared" si="397"/>
        <v>0</v>
      </c>
      <c r="J544" s="230">
        <f t="shared" si="397"/>
        <v>0</v>
      </c>
      <c r="K544" s="230">
        <f t="shared" si="397"/>
        <v>0</v>
      </c>
      <c r="L544" s="230">
        <f t="shared" si="397"/>
        <v>0</v>
      </c>
      <c r="M544" s="230">
        <f t="shared" si="397"/>
        <v>0</v>
      </c>
      <c r="N544" s="230">
        <f t="shared" si="397"/>
        <v>0</v>
      </c>
      <c r="O544" s="230">
        <f t="shared" si="397"/>
        <v>0</v>
      </c>
      <c r="P544" s="230">
        <f t="shared" si="397"/>
        <v>0</v>
      </c>
    </row>
    <row r="545" spans="2:16" hidden="1" outlineLevel="2">
      <c r="B545">
        <f t="shared" si="394"/>
        <v>94</v>
      </c>
      <c r="C545" s="73" t="str">
        <v>SpareOfferC24</v>
      </c>
      <c r="D545" t="s">
        <v>174</v>
      </c>
      <c r="F545" s="87">
        <v>0</v>
      </c>
      <c r="H545" s="230">
        <f t="shared" si="397"/>
        <v>0</v>
      </c>
      <c r="I545" s="230">
        <f t="shared" si="397"/>
        <v>0</v>
      </c>
      <c r="J545" s="230">
        <f t="shared" si="397"/>
        <v>0</v>
      </c>
      <c r="K545" s="230">
        <f t="shared" si="397"/>
        <v>0</v>
      </c>
      <c r="L545" s="230">
        <f t="shared" si="397"/>
        <v>0</v>
      </c>
      <c r="M545" s="230">
        <f t="shared" si="397"/>
        <v>0</v>
      </c>
      <c r="N545" s="230">
        <f t="shared" si="397"/>
        <v>0</v>
      </c>
      <c r="O545" s="230">
        <f t="shared" si="397"/>
        <v>0</v>
      </c>
      <c r="P545" s="230">
        <f t="shared" si="397"/>
        <v>0</v>
      </c>
    </row>
    <row r="546" spans="2:16" hidden="1" outlineLevel="2">
      <c r="B546">
        <f t="shared" si="394"/>
        <v>95</v>
      </c>
      <c r="C546" s="73" t="str">
        <v>SpareOfferC25</v>
      </c>
      <c r="D546" t="s">
        <v>174</v>
      </c>
      <c r="F546" s="87">
        <v>0</v>
      </c>
      <c r="H546" s="230">
        <f t="shared" si="397"/>
        <v>0</v>
      </c>
      <c r="I546" s="230">
        <f t="shared" si="397"/>
        <v>0</v>
      </c>
      <c r="J546" s="230">
        <f t="shared" si="397"/>
        <v>0</v>
      </c>
      <c r="K546" s="230">
        <f t="shared" si="397"/>
        <v>0</v>
      </c>
      <c r="L546" s="230">
        <f t="shared" si="397"/>
        <v>0</v>
      </c>
      <c r="M546" s="230">
        <f t="shared" si="397"/>
        <v>0</v>
      </c>
      <c r="N546" s="230">
        <f t="shared" si="397"/>
        <v>0</v>
      </c>
      <c r="O546" s="230">
        <f t="shared" si="397"/>
        <v>0</v>
      </c>
      <c r="P546" s="230">
        <f t="shared" si="397"/>
        <v>0</v>
      </c>
    </row>
    <row r="547" spans="2:16" hidden="1" outlineLevel="2">
      <c r="B547">
        <f t="shared" si="394"/>
        <v>96</v>
      </c>
      <c r="C547" s="73" t="str">
        <v>SpareOfferC26</v>
      </c>
      <c r="D547" t="s">
        <v>174</v>
      </c>
      <c r="F547" s="87">
        <v>0</v>
      </c>
      <c r="H547" s="230">
        <f t="shared" si="397"/>
        <v>0</v>
      </c>
      <c r="I547" s="230">
        <f t="shared" si="397"/>
        <v>0</v>
      </c>
      <c r="J547" s="230">
        <f t="shared" si="397"/>
        <v>0</v>
      </c>
      <c r="K547" s="230">
        <f t="shared" si="397"/>
        <v>0</v>
      </c>
      <c r="L547" s="230">
        <f t="shared" si="397"/>
        <v>0</v>
      </c>
      <c r="M547" s="230">
        <f t="shared" si="397"/>
        <v>0</v>
      </c>
      <c r="N547" s="230">
        <f t="shared" si="397"/>
        <v>0</v>
      </c>
      <c r="O547" s="230">
        <f t="shared" si="397"/>
        <v>0</v>
      </c>
      <c r="P547" s="230">
        <f t="shared" si="397"/>
        <v>0</v>
      </c>
    </row>
    <row r="548" spans="2:16" hidden="1" outlineLevel="2">
      <c r="B548">
        <f t="shared" si="394"/>
        <v>97</v>
      </c>
      <c r="C548" s="73" t="str">
        <v>SpareOfferC27</v>
      </c>
      <c r="D548" t="s">
        <v>174</v>
      </c>
      <c r="F548" s="87">
        <v>0</v>
      </c>
      <c r="H548" s="230">
        <f t="shared" si="397"/>
        <v>0</v>
      </c>
      <c r="I548" s="230">
        <f t="shared" si="397"/>
        <v>0</v>
      </c>
      <c r="J548" s="230">
        <f t="shared" si="397"/>
        <v>0</v>
      </c>
      <c r="K548" s="230">
        <f t="shared" si="397"/>
        <v>0</v>
      </c>
      <c r="L548" s="230">
        <f t="shared" si="397"/>
        <v>0</v>
      </c>
      <c r="M548" s="230">
        <f t="shared" si="397"/>
        <v>0</v>
      </c>
      <c r="N548" s="230">
        <f t="shared" si="397"/>
        <v>0</v>
      </c>
      <c r="O548" s="230">
        <f t="shared" si="397"/>
        <v>0</v>
      </c>
      <c r="P548" s="230">
        <f t="shared" si="397"/>
        <v>0</v>
      </c>
    </row>
    <row r="549" spans="2:16" hidden="1" outlineLevel="2">
      <c r="B549">
        <f t="shared" si="394"/>
        <v>98</v>
      </c>
      <c r="C549" s="73" t="str">
        <v>SpareOfferC28</v>
      </c>
      <c r="D549" t="s">
        <v>174</v>
      </c>
      <c r="F549" s="87">
        <v>0</v>
      </c>
      <c r="H549" s="230">
        <f t="shared" si="397"/>
        <v>0</v>
      </c>
      <c r="I549" s="230">
        <f t="shared" si="397"/>
        <v>0</v>
      </c>
      <c r="J549" s="230">
        <f t="shared" si="397"/>
        <v>0</v>
      </c>
      <c r="K549" s="230">
        <f t="shared" si="397"/>
        <v>0</v>
      </c>
      <c r="L549" s="230">
        <f t="shared" si="397"/>
        <v>0</v>
      </c>
      <c r="M549" s="230">
        <f t="shared" si="397"/>
        <v>0</v>
      </c>
      <c r="N549" s="230">
        <f t="shared" si="397"/>
        <v>0</v>
      </c>
      <c r="O549" s="230">
        <f t="shared" si="397"/>
        <v>0</v>
      </c>
      <c r="P549" s="230">
        <f t="shared" si="397"/>
        <v>0</v>
      </c>
    </row>
    <row r="550" spans="2:16" hidden="1" outlineLevel="2">
      <c r="B550">
        <f t="shared" si="394"/>
        <v>99</v>
      </c>
      <c r="C550" s="73" t="str">
        <v>SpareOfferC29</v>
      </c>
      <c r="D550" t="s">
        <v>174</v>
      </c>
      <c r="F550" s="87">
        <v>0</v>
      </c>
      <c r="H550" s="230">
        <f t="shared" si="397"/>
        <v>0</v>
      </c>
      <c r="I550" s="230">
        <f t="shared" si="397"/>
        <v>0</v>
      </c>
      <c r="J550" s="230">
        <f t="shared" si="397"/>
        <v>0</v>
      </c>
      <c r="K550" s="230">
        <f t="shared" si="397"/>
        <v>0</v>
      </c>
      <c r="L550" s="230">
        <f t="shared" si="397"/>
        <v>0</v>
      </c>
      <c r="M550" s="230">
        <f t="shared" si="397"/>
        <v>0</v>
      </c>
      <c r="N550" s="230">
        <f t="shared" si="397"/>
        <v>0</v>
      </c>
      <c r="O550" s="230">
        <f t="shared" si="397"/>
        <v>0</v>
      </c>
      <c r="P550" s="230">
        <f t="shared" si="397"/>
        <v>0</v>
      </c>
    </row>
    <row r="551" spans="2:16" hidden="1" outlineLevel="2">
      <c r="B551">
        <f t="shared" si="394"/>
        <v>100</v>
      </c>
      <c r="C551" s="73" t="str">
        <v>SpareOfferC30</v>
      </c>
      <c r="D551" t="s">
        <v>174</v>
      </c>
      <c r="F551" s="87">
        <v>0</v>
      </c>
      <c r="H551" s="230">
        <f t="shared" si="397"/>
        <v>0</v>
      </c>
      <c r="I551" s="230">
        <f t="shared" si="397"/>
        <v>0</v>
      </c>
      <c r="J551" s="230">
        <f t="shared" si="397"/>
        <v>0</v>
      </c>
      <c r="K551" s="230">
        <f t="shared" si="397"/>
        <v>0</v>
      </c>
      <c r="L551" s="230">
        <f t="shared" si="397"/>
        <v>0</v>
      </c>
      <c r="M551" s="230">
        <f t="shared" si="397"/>
        <v>0</v>
      </c>
      <c r="N551" s="230">
        <f t="shared" si="397"/>
        <v>0</v>
      </c>
      <c r="O551" s="230">
        <f t="shared" si="397"/>
        <v>0</v>
      </c>
      <c r="P551" s="230">
        <f t="shared" si="397"/>
        <v>0</v>
      </c>
    </row>
    <row r="552" spans="2:16" hidden="1" outlineLevel="2">
      <c r="B552">
        <f t="shared" si="394"/>
        <v>101</v>
      </c>
      <c r="C552" s="73" t="str">
        <v>SpareOfferC31</v>
      </c>
      <c r="D552" t="s">
        <v>174</v>
      </c>
      <c r="F552" s="87">
        <v>0</v>
      </c>
      <c r="H552" s="230">
        <f t="shared" si="397"/>
        <v>0</v>
      </c>
      <c r="I552" s="230">
        <f t="shared" si="397"/>
        <v>0</v>
      </c>
      <c r="J552" s="230">
        <f t="shared" si="397"/>
        <v>0</v>
      </c>
      <c r="K552" s="230">
        <f t="shared" si="397"/>
        <v>0</v>
      </c>
      <c r="L552" s="230">
        <f t="shared" si="397"/>
        <v>0</v>
      </c>
      <c r="M552" s="230">
        <f t="shared" si="397"/>
        <v>0</v>
      </c>
      <c r="N552" s="230">
        <f t="shared" si="397"/>
        <v>0</v>
      </c>
      <c r="O552" s="230">
        <f t="shared" si="397"/>
        <v>0</v>
      </c>
      <c r="P552" s="230">
        <f t="shared" si="397"/>
        <v>0</v>
      </c>
    </row>
    <row r="553" spans="2:16" hidden="1" outlineLevel="2">
      <c r="B553">
        <f t="shared" si="394"/>
        <v>102</v>
      </c>
      <c r="C553" s="73" t="str">
        <v>SpareOfferC32</v>
      </c>
      <c r="D553" t="s">
        <v>174</v>
      </c>
      <c r="F553" s="87">
        <v>0</v>
      </c>
      <c r="H553" s="230">
        <f t="shared" si="397"/>
        <v>0</v>
      </c>
      <c r="I553" s="230">
        <f t="shared" si="397"/>
        <v>0</v>
      </c>
      <c r="J553" s="230">
        <f t="shared" si="397"/>
        <v>0</v>
      </c>
      <c r="K553" s="230">
        <f t="shared" si="397"/>
        <v>0</v>
      </c>
      <c r="L553" s="230">
        <f t="shared" si="397"/>
        <v>0</v>
      </c>
      <c r="M553" s="230">
        <f t="shared" si="397"/>
        <v>0</v>
      </c>
      <c r="N553" s="230">
        <f t="shared" si="397"/>
        <v>0</v>
      </c>
      <c r="O553" s="230">
        <f t="shared" si="397"/>
        <v>0</v>
      </c>
      <c r="P553" s="230">
        <f t="shared" si="397"/>
        <v>0</v>
      </c>
    </row>
    <row r="554" spans="2:16" hidden="1" outlineLevel="2">
      <c r="B554">
        <f t="shared" si="394"/>
        <v>103</v>
      </c>
      <c r="C554" s="73" t="str">
        <v>SpareOfferC33</v>
      </c>
      <c r="D554" t="s">
        <v>174</v>
      </c>
      <c r="F554" s="87">
        <v>0</v>
      </c>
      <c r="H554" s="230">
        <f t="shared" si="397"/>
        <v>0</v>
      </c>
      <c r="I554" s="230">
        <f t="shared" si="397"/>
        <v>0</v>
      </c>
      <c r="J554" s="230">
        <f t="shared" si="397"/>
        <v>0</v>
      </c>
      <c r="K554" s="230">
        <f t="shared" si="397"/>
        <v>0</v>
      </c>
      <c r="L554" s="230">
        <f t="shared" si="397"/>
        <v>0</v>
      </c>
      <c r="M554" s="230">
        <f t="shared" si="397"/>
        <v>0</v>
      </c>
      <c r="N554" s="230">
        <f t="shared" si="397"/>
        <v>0</v>
      </c>
      <c r="O554" s="230">
        <f t="shared" si="397"/>
        <v>0</v>
      </c>
      <c r="P554" s="230">
        <f t="shared" si="397"/>
        <v>0</v>
      </c>
    </row>
    <row r="555" spans="2:16" hidden="1" outlineLevel="2">
      <c r="B555">
        <f t="shared" si="394"/>
        <v>104</v>
      </c>
      <c r="C555" s="73" t="str">
        <v>SpareOfferC34</v>
      </c>
      <c r="D555" t="s">
        <v>174</v>
      </c>
      <c r="F555" s="87">
        <v>0</v>
      </c>
      <c r="H555" s="230">
        <f t="shared" si="397"/>
        <v>0</v>
      </c>
      <c r="I555" s="230">
        <f t="shared" si="397"/>
        <v>0</v>
      </c>
      <c r="J555" s="230">
        <f t="shared" si="397"/>
        <v>0</v>
      </c>
      <c r="K555" s="230">
        <f t="shared" si="397"/>
        <v>0</v>
      </c>
      <c r="L555" s="230">
        <f t="shared" si="397"/>
        <v>0</v>
      </c>
      <c r="M555" s="230">
        <f t="shared" si="397"/>
        <v>0</v>
      </c>
      <c r="N555" s="230">
        <f t="shared" si="397"/>
        <v>0</v>
      </c>
      <c r="O555" s="230">
        <f t="shared" si="397"/>
        <v>0</v>
      </c>
      <c r="P555" s="230">
        <f t="shared" si="397"/>
        <v>0</v>
      </c>
    </row>
    <row r="556" spans="2:16" outlineLevel="1" collapsed="1">
      <c r="B556">
        <f t="shared" si="394"/>
        <v>105</v>
      </c>
      <c r="C556" s="73" t="str">
        <v>SpareOfferC35</v>
      </c>
      <c r="D556" t="s">
        <v>174</v>
      </c>
      <c r="F556" s="87">
        <v>0</v>
      </c>
      <c r="H556" s="230">
        <f t="shared" si="397"/>
        <v>0</v>
      </c>
      <c r="I556" s="230">
        <f t="shared" si="397"/>
        <v>0</v>
      </c>
      <c r="J556" s="230">
        <f t="shared" si="397"/>
        <v>0</v>
      </c>
      <c r="K556" s="230">
        <f t="shared" si="397"/>
        <v>0</v>
      </c>
      <c r="L556" s="230">
        <f t="shared" si="397"/>
        <v>0</v>
      </c>
      <c r="M556" s="230">
        <f t="shared" si="397"/>
        <v>0</v>
      </c>
      <c r="N556" s="230">
        <f t="shared" si="397"/>
        <v>0</v>
      </c>
      <c r="O556" s="230">
        <f t="shared" si="397"/>
        <v>0</v>
      </c>
      <c r="P556" s="230">
        <f t="shared" si="397"/>
        <v>0</v>
      </c>
    </row>
    <row r="557" spans="2:16" outlineLevel="1"/>
    <row r="558" spans="2:16" ht="34.5" outlineLevel="1">
      <c r="B558" s="91" t="s">
        <v>219</v>
      </c>
      <c r="F558" s="127" t="s">
        <v>190</v>
      </c>
      <c r="H558" s="1" t="str">
        <f t="array" ref="H558:P558">options.selected.roaming.detailed</f>
        <v>Roaming voice (EEA)</v>
      </c>
      <c r="I558" s="1" t="str">
        <v>Roaming voice (non-EEA)</v>
      </c>
      <c r="J558" s="1" t="str">
        <v>Roaming CF (EEA)</v>
      </c>
      <c r="K558" s="1" t="str">
        <v>Roaming CF (non-EEA)</v>
      </c>
      <c r="L558" s="1" t="str">
        <v>Roaming messages (EEA)</v>
      </c>
      <c r="M558" s="1" t="str">
        <v>Roaming messages (non-EEA)</v>
      </c>
      <c r="N558" s="1" t="str">
        <v>Roaming data (EEA)</v>
      </c>
      <c r="O558" s="1" t="str">
        <v>Roaming data (non-EEA)</v>
      </c>
      <c r="P558" s="1" t="str">
        <v>Spare 1</v>
      </c>
    </row>
    <row r="559" spans="2:16" outlineLevel="1">
      <c r="C559" s="93" t="s">
        <v>342</v>
      </c>
      <c r="D559" t="s">
        <v>301</v>
      </c>
      <c r="F559" s="233">
        <f>SUM(H559:P559)</f>
        <v>0</v>
      </c>
      <c r="H559" s="232">
        <f>H521*H$517</f>
        <v>0</v>
      </c>
      <c r="I559" s="232">
        <f t="shared" ref="I559:P559" si="398">I521*I$517</f>
        <v>0</v>
      </c>
      <c r="J559" s="232">
        <f t="shared" si="398"/>
        <v>0</v>
      </c>
      <c r="K559" s="232">
        <f t="shared" si="398"/>
        <v>0</v>
      </c>
      <c r="L559" s="232">
        <f t="shared" si="398"/>
        <v>0</v>
      </c>
      <c r="M559" s="232">
        <f t="shared" si="398"/>
        <v>0</v>
      </c>
      <c r="N559" s="232">
        <f t="shared" si="398"/>
        <v>0</v>
      </c>
      <c r="O559" s="232">
        <f t="shared" si="398"/>
        <v>0</v>
      </c>
      <c r="P559" s="232">
        <f t="shared" si="398"/>
        <v>0</v>
      </c>
    </row>
    <row r="560" spans="2:16" outlineLevel="1">
      <c r="C560" s="73" t="str">
        <f t="array" ref="C560:C594">offers.segment.3</f>
        <v>SpareOfferC1</v>
      </c>
      <c r="D560" t="s">
        <v>301</v>
      </c>
      <c r="F560" s="234">
        <f t="shared" ref="F560:F593" si="399">SUM(H560:P560)</f>
        <v>0</v>
      </c>
      <c r="H560" s="232">
        <f t="shared" ref="H560" si="400">H522*H$517</f>
        <v>0</v>
      </c>
      <c r="I560" s="232">
        <f t="shared" ref="I560:P560" si="401">I522*I$517</f>
        <v>0</v>
      </c>
      <c r="J560" s="232">
        <f t="shared" si="401"/>
        <v>0</v>
      </c>
      <c r="K560" s="232">
        <f t="shared" si="401"/>
        <v>0</v>
      </c>
      <c r="L560" s="232">
        <f t="shared" si="401"/>
        <v>0</v>
      </c>
      <c r="M560" s="232">
        <f t="shared" si="401"/>
        <v>0</v>
      </c>
      <c r="N560" s="232">
        <f t="shared" si="401"/>
        <v>0</v>
      </c>
      <c r="O560" s="232">
        <f t="shared" si="401"/>
        <v>0</v>
      </c>
      <c r="P560" s="232">
        <f t="shared" si="401"/>
        <v>0</v>
      </c>
    </row>
    <row r="561" spans="3:16" hidden="1" outlineLevel="2">
      <c r="C561" s="73" t="str">
        <v>SpareOfferC2</v>
      </c>
      <c r="D561" t="s">
        <v>301</v>
      </c>
      <c r="F561" s="234">
        <f t="shared" si="399"/>
        <v>0</v>
      </c>
      <c r="H561" s="232">
        <f t="shared" ref="H561" si="402">H523*H$517</f>
        <v>0</v>
      </c>
      <c r="I561" s="232">
        <f t="shared" ref="I561:P561" si="403">I523*I$517</f>
        <v>0</v>
      </c>
      <c r="J561" s="232">
        <f t="shared" si="403"/>
        <v>0</v>
      </c>
      <c r="K561" s="232">
        <f t="shared" si="403"/>
        <v>0</v>
      </c>
      <c r="L561" s="232">
        <f t="shared" si="403"/>
        <v>0</v>
      </c>
      <c r="M561" s="232">
        <f t="shared" si="403"/>
        <v>0</v>
      </c>
      <c r="N561" s="232">
        <f t="shared" si="403"/>
        <v>0</v>
      </c>
      <c r="O561" s="232">
        <f t="shared" si="403"/>
        <v>0</v>
      </c>
      <c r="P561" s="232">
        <f t="shared" si="403"/>
        <v>0</v>
      </c>
    </row>
    <row r="562" spans="3:16" hidden="1" outlineLevel="2">
      <c r="C562" s="73" t="str">
        <v>SpareOfferC3</v>
      </c>
      <c r="D562" t="s">
        <v>301</v>
      </c>
      <c r="F562" s="234">
        <f t="shared" si="399"/>
        <v>0</v>
      </c>
      <c r="H562" s="232">
        <f t="shared" ref="H562" si="404">H524*H$517</f>
        <v>0</v>
      </c>
      <c r="I562" s="232">
        <f t="shared" ref="I562:P562" si="405">I524*I$517</f>
        <v>0</v>
      </c>
      <c r="J562" s="232">
        <f t="shared" si="405"/>
        <v>0</v>
      </c>
      <c r="K562" s="232">
        <f t="shared" si="405"/>
        <v>0</v>
      </c>
      <c r="L562" s="232">
        <f t="shared" si="405"/>
        <v>0</v>
      </c>
      <c r="M562" s="232">
        <f t="shared" si="405"/>
        <v>0</v>
      </c>
      <c r="N562" s="232">
        <f t="shared" si="405"/>
        <v>0</v>
      </c>
      <c r="O562" s="232">
        <f t="shared" si="405"/>
        <v>0</v>
      </c>
      <c r="P562" s="232">
        <f t="shared" si="405"/>
        <v>0</v>
      </c>
    </row>
    <row r="563" spans="3:16" hidden="1" outlineLevel="2">
      <c r="C563" s="73" t="str">
        <v>SpareOfferC4</v>
      </c>
      <c r="D563" t="s">
        <v>301</v>
      </c>
      <c r="F563" s="234">
        <f t="shared" si="399"/>
        <v>0</v>
      </c>
      <c r="H563" s="232">
        <f t="shared" ref="H563" si="406">H525*H$517</f>
        <v>0</v>
      </c>
      <c r="I563" s="232">
        <f t="shared" ref="I563:P563" si="407">I525*I$517</f>
        <v>0</v>
      </c>
      <c r="J563" s="232">
        <f t="shared" si="407"/>
        <v>0</v>
      </c>
      <c r="K563" s="232">
        <f t="shared" si="407"/>
        <v>0</v>
      </c>
      <c r="L563" s="232">
        <f t="shared" si="407"/>
        <v>0</v>
      </c>
      <c r="M563" s="232">
        <f t="shared" si="407"/>
        <v>0</v>
      </c>
      <c r="N563" s="232">
        <f t="shared" si="407"/>
        <v>0</v>
      </c>
      <c r="O563" s="232">
        <f t="shared" si="407"/>
        <v>0</v>
      </c>
      <c r="P563" s="232">
        <f t="shared" si="407"/>
        <v>0</v>
      </c>
    </row>
    <row r="564" spans="3:16" hidden="1" outlineLevel="2">
      <c r="C564" s="73" t="str">
        <v>SpareOfferC5</v>
      </c>
      <c r="D564" t="s">
        <v>301</v>
      </c>
      <c r="F564" s="234">
        <f t="shared" si="399"/>
        <v>0</v>
      </c>
      <c r="H564" s="232">
        <f t="shared" ref="H564" si="408">H526*H$517</f>
        <v>0</v>
      </c>
      <c r="I564" s="232">
        <f t="shared" ref="I564:P564" si="409">I526*I$517</f>
        <v>0</v>
      </c>
      <c r="J564" s="232">
        <f t="shared" si="409"/>
        <v>0</v>
      </c>
      <c r="K564" s="232">
        <f t="shared" si="409"/>
        <v>0</v>
      </c>
      <c r="L564" s="232">
        <f t="shared" si="409"/>
        <v>0</v>
      </c>
      <c r="M564" s="232">
        <f t="shared" si="409"/>
        <v>0</v>
      </c>
      <c r="N564" s="232">
        <f t="shared" si="409"/>
        <v>0</v>
      </c>
      <c r="O564" s="232">
        <f t="shared" si="409"/>
        <v>0</v>
      </c>
      <c r="P564" s="232">
        <f t="shared" si="409"/>
        <v>0</v>
      </c>
    </row>
    <row r="565" spans="3:16" hidden="1" outlineLevel="2">
      <c r="C565" s="73" t="str">
        <v>SpareOfferC6</v>
      </c>
      <c r="D565" t="s">
        <v>301</v>
      </c>
      <c r="F565" s="234">
        <f t="shared" si="399"/>
        <v>0</v>
      </c>
      <c r="H565" s="232">
        <f t="shared" ref="H565" si="410">H527*H$517</f>
        <v>0</v>
      </c>
      <c r="I565" s="232">
        <f t="shared" ref="I565:P565" si="411">I527*I$517</f>
        <v>0</v>
      </c>
      <c r="J565" s="232">
        <f t="shared" si="411"/>
        <v>0</v>
      </c>
      <c r="K565" s="232">
        <f t="shared" si="411"/>
        <v>0</v>
      </c>
      <c r="L565" s="232">
        <f t="shared" si="411"/>
        <v>0</v>
      </c>
      <c r="M565" s="232">
        <f t="shared" si="411"/>
        <v>0</v>
      </c>
      <c r="N565" s="232">
        <f t="shared" si="411"/>
        <v>0</v>
      </c>
      <c r="O565" s="232">
        <f t="shared" si="411"/>
        <v>0</v>
      </c>
      <c r="P565" s="232">
        <f t="shared" si="411"/>
        <v>0</v>
      </c>
    </row>
    <row r="566" spans="3:16" hidden="1" outlineLevel="2">
      <c r="C566" s="73" t="str">
        <v>SpareOfferC7</v>
      </c>
      <c r="D566" t="s">
        <v>301</v>
      </c>
      <c r="F566" s="234">
        <f t="shared" si="399"/>
        <v>0</v>
      </c>
      <c r="H566" s="232">
        <f t="shared" ref="H566" si="412">H528*H$517</f>
        <v>0</v>
      </c>
      <c r="I566" s="232">
        <f t="shared" ref="I566:P566" si="413">I528*I$517</f>
        <v>0</v>
      </c>
      <c r="J566" s="232">
        <f t="shared" si="413"/>
        <v>0</v>
      </c>
      <c r="K566" s="232">
        <f t="shared" si="413"/>
        <v>0</v>
      </c>
      <c r="L566" s="232">
        <f t="shared" si="413"/>
        <v>0</v>
      </c>
      <c r="M566" s="232">
        <f t="shared" si="413"/>
        <v>0</v>
      </c>
      <c r="N566" s="232">
        <f t="shared" si="413"/>
        <v>0</v>
      </c>
      <c r="O566" s="232">
        <f t="shared" si="413"/>
        <v>0</v>
      </c>
      <c r="P566" s="232">
        <f t="shared" si="413"/>
        <v>0</v>
      </c>
    </row>
    <row r="567" spans="3:16" hidden="1" outlineLevel="2">
      <c r="C567" s="73" t="str">
        <v>SpareOfferC8</v>
      </c>
      <c r="D567" t="s">
        <v>301</v>
      </c>
      <c r="F567" s="234">
        <f t="shared" si="399"/>
        <v>0</v>
      </c>
      <c r="H567" s="232">
        <f t="shared" ref="H567" si="414">H529*H$517</f>
        <v>0</v>
      </c>
      <c r="I567" s="232">
        <f t="shared" ref="I567:P567" si="415">I529*I$517</f>
        <v>0</v>
      </c>
      <c r="J567" s="232">
        <f t="shared" si="415"/>
        <v>0</v>
      </c>
      <c r="K567" s="232">
        <f t="shared" si="415"/>
        <v>0</v>
      </c>
      <c r="L567" s="232">
        <f t="shared" si="415"/>
        <v>0</v>
      </c>
      <c r="M567" s="232">
        <f t="shared" si="415"/>
        <v>0</v>
      </c>
      <c r="N567" s="232">
        <f t="shared" si="415"/>
        <v>0</v>
      </c>
      <c r="O567" s="232">
        <f t="shared" si="415"/>
        <v>0</v>
      </c>
      <c r="P567" s="232">
        <f t="shared" si="415"/>
        <v>0</v>
      </c>
    </row>
    <row r="568" spans="3:16" hidden="1" outlineLevel="2">
      <c r="C568" s="73" t="str">
        <v>SpareOfferC9</v>
      </c>
      <c r="D568" t="s">
        <v>301</v>
      </c>
      <c r="F568" s="234">
        <f t="shared" si="399"/>
        <v>0</v>
      </c>
      <c r="H568" s="232">
        <f t="shared" ref="H568" si="416">H530*H$517</f>
        <v>0</v>
      </c>
      <c r="I568" s="232">
        <f t="shared" ref="I568:P568" si="417">I530*I$517</f>
        <v>0</v>
      </c>
      <c r="J568" s="232">
        <f t="shared" si="417"/>
        <v>0</v>
      </c>
      <c r="K568" s="232">
        <f t="shared" si="417"/>
        <v>0</v>
      </c>
      <c r="L568" s="232">
        <f t="shared" si="417"/>
        <v>0</v>
      </c>
      <c r="M568" s="232">
        <f t="shared" si="417"/>
        <v>0</v>
      </c>
      <c r="N568" s="232">
        <f t="shared" si="417"/>
        <v>0</v>
      </c>
      <c r="O568" s="232">
        <f t="shared" si="417"/>
        <v>0</v>
      </c>
      <c r="P568" s="232">
        <f t="shared" si="417"/>
        <v>0</v>
      </c>
    </row>
    <row r="569" spans="3:16" hidden="1" outlineLevel="2">
      <c r="C569" s="73" t="str">
        <v>SpareOfferC10</v>
      </c>
      <c r="D569" t="s">
        <v>301</v>
      </c>
      <c r="F569" s="234">
        <f t="shared" si="399"/>
        <v>0</v>
      </c>
      <c r="H569" s="232">
        <f t="shared" ref="H569" si="418">H531*H$517</f>
        <v>0</v>
      </c>
      <c r="I569" s="232">
        <f t="shared" ref="I569:P569" si="419">I531*I$517</f>
        <v>0</v>
      </c>
      <c r="J569" s="232">
        <f t="shared" si="419"/>
        <v>0</v>
      </c>
      <c r="K569" s="232">
        <f t="shared" si="419"/>
        <v>0</v>
      </c>
      <c r="L569" s="232">
        <f t="shared" si="419"/>
        <v>0</v>
      </c>
      <c r="M569" s="232">
        <f t="shared" si="419"/>
        <v>0</v>
      </c>
      <c r="N569" s="232">
        <f t="shared" si="419"/>
        <v>0</v>
      </c>
      <c r="O569" s="232">
        <f t="shared" si="419"/>
        <v>0</v>
      </c>
      <c r="P569" s="232">
        <f t="shared" si="419"/>
        <v>0</v>
      </c>
    </row>
    <row r="570" spans="3:16" hidden="1" outlineLevel="2">
      <c r="C570" s="73" t="str">
        <v>SpareOfferC11</v>
      </c>
      <c r="D570" t="s">
        <v>301</v>
      </c>
      <c r="F570" s="234">
        <f t="shared" si="399"/>
        <v>0</v>
      </c>
      <c r="H570" s="232">
        <f t="shared" ref="H570" si="420">H532*H$517</f>
        <v>0</v>
      </c>
      <c r="I570" s="232">
        <f t="shared" ref="I570:P570" si="421">I532*I$517</f>
        <v>0</v>
      </c>
      <c r="J570" s="232">
        <f t="shared" si="421"/>
        <v>0</v>
      </c>
      <c r="K570" s="232">
        <f t="shared" si="421"/>
        <v>0</v>
      </c>
      <c r="L570" s="232">
        <f t="shared" si="421"/>
        <v>0</v>
      </c>
      <c r="M570" s="232">
        <f t="shared" si="421"/>
        <v>0</v>
      </c>
      <c r="N570" s="232">
        <f t="shared" si="421"/>
        <v>0</v>
      </c>
      <c r="O570" s="232">
        <f t="shared" si="421"/>
        <v>0</v>
      </c>
      <c r="P570" s="232">
        <f t="shared" si="421"/>
        <v>0</v>
      </c>
    </row>
    <row r="571" spans="3:16" hidden="1" outlineLevel="2">
      <c r="C571" s="73" t="str">
        <v>SpareOfferC12</v>
      </c>
      <c r="D571" t="s">
        <v>301</v>
      </c>
      <c r="F571" s="234">
        <f t="shared" si="399"/>
        <v>0</v>
      </c>
      <c r="H571" s="232">
        <f t="shared" ref="H571" si="422">H533*H$517</f>
        <v>0</v>
      </c>
      <c r="I571" s="232">
        <f t="shared" ref="I571:P571" si="423">I533*I$517</f>
        <v>0</v>
      </c>
      <c r="J571" s="232">
        <f t="shared" si="423"/>
        <v>0</v>
      </c>
      <c r="K571" s="232">
        <f t="shared" si="423"/>
        <v>0</v>
      </c>
      <c r="L571" s="232">
        <f t="shared" si="423"/>
        <v>0</v>
      </c>
      <c r="M571" s="232">
        <f t="shared" si="423"/>
        <v>0</v>
      </c>
      <c r="N571" s="232">
        <f t="shared" si="423"/>
        <v>0</v>
      </c>
      <c r="O571" s="232">
        <f t="shared" si="423"/>
        <v>0</v>
      </c>
      <c r="P571" s="232">
        <f t="shared" si="423"/>
        <v>0</v>
      </c>
    </row>
    <row r="572" spans="3:16" hidden="1" outlineLevel="2">
      <c r="C572" s="73" t="str">
        <v>SpareOfferC13</v>
      </c>
      <c r="D572" t="s">
        <v>301</v>
      </c>
      <c r="F572" s="234">
        <f t="shared" si="399"/>
        <v>0</v>
      </c>
      <c r="H572" s="232">
        <f t="shared" ref="H572" si="424">H534*H$517</f>
        <v>0</v>
      </c>
      <c r="I572" s="232">
        <f t="shared" ref="I572:P572" si="425">I534*I$517</f>
        <v>0</v>
      </c>
      <c r="J572" s="232">
        <f t="shared" si="425"/>
        <v>0</v>
      </c>
      <c r="K572" s="232">
        <f t="shared" si="425"/>
        <v>0</v>
      </c>
      <c r="L572" s="232">
        <f t="shared" si="425"/>
        <v>0</v>
      </c>
      <c r="M572" s="232">
        <f t="shared" si="425"/>
        <v>0</v>
      </c>
      <c r="N572" s="232">
        <f t="shared" si="425"/>
        <v>0</v>
      </c>
      <c r="O572" s="232">
        <f t="shared" si="425"/>
        <v>0</v>
      </c>
      <c r="P572" s="232">
        <f t="shared" si="425"/>
        <v>0</v>
      </c>
    </row>
    <row r="573" spans="3:16" hidden="1" outlineLevel="2">
      <c r="C573" s="73" t="str">
        <v>SpareOfferC14</v>
      </c>
      <c r="D573" t="s">
        <v>301</v>
      </c>
      <c r="F573" s="234">
        <f t="shared" si="399"/>
        <v>0</v>
      </c>
      <c r="H573" s="232">
        <f t="shared" ref="H573" si="426">H535*H$517</f>
        <v>0</v>
      </c>
      <c r="I573" s="232">
        <f t="shared" ref="I573:P573" si="427">I535*I$517</f>
        <v>0</v>
      </c>
      <c r="J573" s="232">
        <f t="shared" si="427"/>
        <v>0</v>
      </c>
      <c r="K573" s="232">
        <f t="shared" si="427"/>
        <v>0</v>
      </c>
      <c r="L573" s="232">
        <f t="shared" si="427"/>
        <v>0</v>
      </c>
      <c r="M573" s="232">
        <f t="shared" si="427"/>
        <v>0</v>
      </c>
      <c r="N573" s="232">
        <f t="shared" si="427"/>
        <v>0</v>
      </c>
      <c r="O573" s="232">
        <f t="shared" si="427"/>
        <v>0</v>
      </c>
      <c r="P573" s="232">
        <f t="shared" si="427"/>
        <v>0</v>
      </c>
    </row>
    <row r="574" spans="3:16" hidden="1" outlineLevel="2">
      <c r="C574" s="73" t="str">
        <v>SpareOfferC15</v>
      </c>
      <c r="D574" t="s">
        <v>301</v>
      </c>
      <c r="F574" s="234">
        <f t="shared" si="399"/>
        <v>0</v>
      </c>
      <c r="H574" s="232">
        <f t="shared" ref="H574" si="428">H536*H$517</f>
        <v>0</v>
      </c>
      <c r="I574" s="232">
        <f t="shared" ref="I574:P574" si="429">I536*I$517</f>
        <v>0</v>
      </c>
      <c r="J574" s="232">
        <f t="shared" si="429"/>
        <v>0</v>
      </c>
      <c r="K574" s="232">
        <f t="shared" si="429"/>
        <v>0</v>
      </c>
      <c r="L574" s="232">
        <f t="shared" si="429"/>
        <v>0</v>
      </c>
      <c r="M574" s="232">
        <f t="shared" si="429"/>
        <v>0</v>
      </c>
      <c r="N574" s="232">
        <f t="shared" si="429"/>
        <v>0</v>
      </c>
      <c r="O574" s="232">
        <f t="shared" si="429"/>
        <v>0</v>
      </c>
      <c r="P574" s="232">
        <f t="shared" si="429"/>
        <v>0</v>
      </c>
    </row>
    <row r="575" spans="3:16" hidden="1" outlineLevel="2">
      <c r="C575" s="73" t="str">
        <v>SpareOfferC16</v>
      </c>
      <c r="D575" t="s">
        <v>301</v>
      </c>
      <c r="F575" s="234">
        <f t="shared" si="399"/>
        <v>0</v>
      </c>
      <c r="H575" s="232">
        <f t="shared" ref="H575" si="430">H537*H$517</f>
        <v>0</v>
      </c>
      <c r="I575" s="232">
        <f t="shared" ref="I575:P575" si="431">I537*I$517</f>
        <v>0</v>
      </c>
      <c r="J575" s="232">
        <f t="shared" si="431"/>
        <v>0</v>
      </c>
      <c r="K575" s="232">
        <f t="shared" si="431"/>
        <v>0</v>
      </c>
      <c r="L575" s="232">
        <f t="shared" si="431"/>
        <v>0</v>
      </c>
      <c r="M575" s="232">
        <f t="shared" si="431"/>
        <v>0</v>
      </c>
      <c r="N575" s="232">
        <f t="shared" si="431"/>
        <v>0</v>
      </c>
      <c r="O575" s="232">
        <f t="shared" si="431"/>
        <v>0</v>
      </c>
      <c r="P575" s="232">
        <f t="shared" si="431"/>
        <v>0</v>
      </c>
    </row>
    <row r="576" spans="3:16" hidden="1" outlineLevel="2">
      <c r="C576" s="73" t="str">
        <v>SpareOfferC17</v>
      </c>
      <c r="D576" t="s">
        <v>301</v>
      </c>
      <c r="F576" s="234">
        <f t="shared" si="399"/>
        <v>0</v>
      </c>
      <c r="H576" s="232">
        <f t="shared" ref="H576" si="432">H538*H$517</f>
        <v>0</v>
      </c>
      <c r="I576" s="232">
        <f t="shared" ref="I576:P576" si="433">I538*I$517</f>
        <v>0</v>
      </c>
      <c r="J576" s="232">
        <f t="shared" si="433"/>
        <v>0</v>
      </c>
      <c r="K576" s="232">
        <f t="shared" si="433"/>
        <v>0</v>
      </c>
      <c r="L576" s="232">
        <f t="shared" si="433"/>
        <v>0</v>
      </c>
      <c r="M576" s="232">
        <f t="shared" si="433"/>
        <v>0</v>
      </c>
      <c r="N576" s="232">
        <f t="shared" si="433"/>
        <v>0</v>
      </c>
      <c r="O576" s="232">
        <f t="shared" si="433"/>
        <v>0</v>
      </c>
      <c r="P576" s="232">
        <f t="shared" si="433"/>
        <v>0</v>
      </c>
    </row>
    <row r="577" spans="3:16" hidden="1" outlineLevel="2">
      <c r="C577" s="73" t="str">
        <v>SpareOfferC18</v>
      </c>
      <c r="D577" t="s">
        <v>301</v>
      </c>
      <c r="F577" s="234">
        <f t="shared" si="399"/>
        <v>0</v>
      </c>
      <c r="H577" s="232">
        <f t="shared" ref="H577" si="434">H539*H$517</f>
        <v>0</v>
      </c>
      <c r="I577" s="232">
        <f t="shared" ref="I577:P577" si="435">I539*I$517</f>
        <v>0</v>
      </c>
      <c r="J577" s="232">
        <f t="shared" si="435"/>
        <v>0</v>
      </c>
      <c r="K577" s="232">
        <f t="shared" si="435"/>
        <v>0</v>
      </c>
      <c r="L577" s="232">
        <f t="shared" si="435"/>
        <v>0</v>
      </c>
      <c r="M577" s="232">
        <f t="shared" si="435"/>
        <v>0</v>
      </c>
      <c r="N577" s="232">
        <f t="shared" si="435"/>
        <v>0</v>
      </c>
      <c r="O577" s="232">
        <f t="shared" si="435"/>
        <v>0</v>
      </c>
      <c r="P577" s="232">
        <f t="shared" si="435"/>
        <v>0</v>
      </c>
    </row>
    <row r="578" spans="3:16" hidden="1" outlineLevel="2">
      <c r="C578" s="73" t="str">
        <v>SpareOfferC19</v>
      </c>
      <c r="D578" t="s">
        <v>301</v>
      </c>
      <c r="F578" s="234">
        <f t="shared" si="399"/>
        <v>0</v>
      </c>
      <c r="H578" s="232">
        <f t="shared" ref="H578" si="436">H540*H$517</f>
        <v>0</v>
      </c>
      <c r="I578" s="232">
        <f t="shared" ref="I578:P578" si="437">I540*I$517</f>
        <v>0</v>
      </c>
      <c r="J578" s="232">
        <f t="shared" si="437"/>
        <v>0</v>
      </c>
      <c r="K578" s="232">
        <f t="shared" si="437"/>
        <v>0</v>
      </c>
      <c r="L578" s="232">
        <f t="shared" si="437"/>
        <v>0</v>
      </c>
      <c r="M578" s="232">
        <f t="shared" si="437"/>
        <v>0</v>
      </c>
      <c r="N578" s="232">
        <f t="shared" si="437"/>
        <v>0</v>
      </c>
      <c r="O578" s="232">
        <f t="shared" si="437"/>
        <v>0</v>
      </c>
      <c r="P578" s="232">
        <f t="shared" si="437"/>
        <v>0</v>
      </c>
    </row>
    <row r="579" spans="3:16" hidden="1" outlineLevel="2">
      <c r="C579" s="73" t="str">
        <v>SpareOfferC20</v>
      </c>
      <c r="D579" t="s">
        <v>301</v>
      </c>
      <c r="F579" s="234">
        <f t="shared" si="399"/>
        <v>0</v>
      </c>
      <c r="H579" s="232">
        <f t="shared" ref="H579" si="438">H541*H$517</f>
        <v>0</v>
      </c>
      <c r="I579" s="232">
        <f t="shared" ref="I579:P579" si="439">I541*I$517</f>
        <v>0</v>
      </c>
      <c r="J579" s="232">
        <f t="shared" si="439"/>
        <v>0</v>
      </c>
      <c r="K579" s="232">
        <f t="shared" si="439"/>
        <v>0</v>
      </c>
      <c r="L579" s="232">
        <f t="shared" si="439"/>
        <v>0</v>
      </c>
      <c r="M579" s="232">
        <f t="shared" si="439"/>
        <v>0</v>
      </c>
      <c r="N579" s="232">
        <f t="shared" si="439"/>
        <v>0</v>
      </c>
      <c r="O579" s="232">
        <f t="shared" si="439"/>
        <v>0</v>
      </c>
      <c r="P579" s="232">
        <f t="shared" si="439"/>
        <v>0</v>
      </c>
    </row>
    <row r="580" spans="3:16" hidden="1" outlineLevel="2">
      <c r="C580" s="73" t="str">
        <v>SpareOfferC21</v>
      </c>
      <c r="D580" t="s">
        <v>301</v>
      </c>
      <c r="F580" s="234">
        <f t="shared" si="399"/>
        <v>0</v>
      </c>
      <c r="H580" s="232">
        <f t="shared" ref="H580" si="440">H542*H$517</f>
        <v>0</v>
      </c>
      <c r="I580" s="232">
        <f t="shared" ref="I580:P580" si="441">I542*I$517</f>
        <v>0</v>
      </c>
      <c r="J580" s="232">
        <f t="shared" si="441"/>
        <v>0</v>
      </c>
      <c r="K580" s="232">
        <f t="shared" si="441"/>
        <v>0</v>
      </c>
      <c r="L580" s="232">
        <f t="shared" si="441"/>
        <v>0</v>
      </c>
      <c r="M580" s="232">
        <f t="shared" si="441"/>
        <v>0</v>
      </c>
      <c r="N580" s="232">
        <f t="shared" si="441"/>
        <v>0</v>
      </c>
      <c r="O580" s="232">
        <f t="shared" si="441"/>
        <v>0</v>
      </c>
      <c r="P580" s="232">
        <f t="shared" si="441"/>
        <v>0</v>
      </c>
    </row>
    <row r="581" spans="3:16" hidden="1" outlineLevel="2">
      <c r="C581" s="73" t="str">
        <v>SpareOfferC22</v>
      </c>
      <c r="D581" t="s">
        <v>301</v>
      </c>
      <c r="F581" s="234">
        <f t="shared" si="399"/>
        <v>0</v>
      </c>
      <c r="H581" s="232">
        <f t="shared" ref="H581" si="442">H543*H$517</f>
        <v>0</v>
      </c>
      <c r="I581" s="232">
        <f t="shared" ref="I581:P581" si="443">I543*I$517</f>
        <v>0</v>
      </c>
      <c r="J581" s="232">
        <f t="shared" si="443"/>
        <v>0</v>
      </c>
      <c r="K581" s="232">
        <f t="shared" si="443"/>
        <v>0</v>
      </c>
      <c r="L581" s="232">
        <f t="shared" si="443"/>
        <v>0</v>
      </c>
      <c r="M581" s="232">
        <f t="shared" si="443"/>
        <v>0</v>
      </c>
      <c r="N581" s="232">
        <f t="shared" si="443"/>
        <v>0</v>
      </c>
      <c r="O581" s="232">
        <f t="shared" si="443"/>
        <v>0</v>
      </c>
      <c r="P581" s="232">
        <f t="shared" si="443"/>
        <v>0</v>
      </c>
    </row>
    <row r="582" spans="3:16" hidden="1" outlineLevel="2">
      <c r="C582" s="73" t="str">
        <v>SpareOfferC23</v>
      </c>
      <c r="D582" t="s">
        <v>301</v>
      </c>
      <c r="F582" s="234">
        <f t="shared" si="399"/>
        <v>0</v>
      </c>
      <c r="H582" s="232">
        <f t="shared" ref="H582" si="444">H544*H$517</f>
        <v>0</v>
      </c>
      <c r="I582" s="232">
        <f t="shared" ref="I582:P582" si="445">I544*I$517</f>
        <v>0</v>
      </c>
      <c r="J582" s="232">
        <f t="shared" si="445"/>
        <v>0</v>
      </c>
      <c r="K582" s="232">
        <f t="shared" si="445"/>
        <v>0</v>
      </c>
      <c r="L582" s="232">
        <f t="shared" si="445"/>
        <v>0</v>
      </c>
      <c r="M582" s="232">
        <f t="shared" si="445"/>
        <v>0</v>
      </c>
      <c r="N582" s="232">
        <f t="shared" si="445"/>
        <v>0</v>
      </c>
      <c r="O582" s="232">
        <f t="shared" si="445"/>
        <v>0</v>
      </c>
      <c r="P582" s="232">
        <f t="shared" si="445"/>
        <v>0</v>
      </c>
    </row>
    <row r="583" spans="3:16" hidden="1" outlineLevel="2">
      <c r="C583" s="73" t="str">
        <v>SpareOfferC24</v>
      </c>
      <c r="D583" t="s">
        <v>301</v>
      </c>
      <c r="F583" s="234">
        <f t="shared" si="399"/>
        <v>0</v>
      </c>
      <c r="H583" s="232">
        <f t="shared" ref="H583" si="446">H545*H$517</f>
        <v>0</v>
      </c>
      <c r="I583" s="232">
        <f t="shared" ref="I583:P583" si="447">I545*I$517</f>
        <v>0</v>
      </c>
      <c r="J583" s="232">
        <f t="shared" si="447"/>
        <v>0</v>
      </c>
      <c r="K583" s="232">
        <f t="shared" si="447"/>
        <v>0</v>
      </c>
      <c r="L583" s="232">
        <f t="shared" si="447"/>
        <v>0</v>
      </c>
      <c r="M583" s="232">
        <f t="shared" si="447"/>
        <v>0</v>
      </c>
      <c r="N583" s="232">
        <f t="shared" si="447"/>
        <v>0</v>
      </c>
      <c r="O583" s="232">
        <f t="shared" si="447"/>
        <v>0</v>
      </c>
      <c r="P583" s="232">
        <f t="shared" si="447"/>
        <v>0</v>
      </c>
    </row>
    <row r="584" spans="3:16" hidden="1" outlineLevel="2">
      <c r="C584" s="73" t="str">
        <v>SpareOfferC25</v>
      </c>
      <c r="D584" t="s">
        <v>301</v>
      </c>
      <c r="F584" s="234">
        <f t="shared" si="399"/>
        <v>0</v>
      </c>
      <c r="H584" s="232">
        <f t="shared" ref="H584" si="448">H546*H$517</f>
        <v>0</v>
      </c>
      <c r="I584" s="232">
        <f t="shared" ref="I584:P584" si="449">I546*I$517</f>
        <v>0</v>
      </c>
      <c r="J584" s="232">
        <f t="shared" si="449"/>
        <v>0</v>
      </c>
      <c r="K584" s="232">
        <f t="shared" si="449"/>
        <v>0</v>
      </c>
      <c r="L584" s="232">
        <f t="shared" si="449"/>
        <v>0</v>
      </c>
      <c r="M584" s="232">
        <f t="shared" si="449"/>
        <v>0</v>
      </c>
      <c r="N584" s="232">
        <f t="shared" si="449"/>
        <v>0</v>
      </c>
      <c r="O584" s="232">
        <f t="shared" si="449"/>
        <v>0</v>
      </c>
      <c r="P584" s="232">
        <f t="shared" si="449"/>
        <v>0</v>
      </c>
    </row>
    <row r="585" spans="3:16" hidden="1" outlineLevel="2">
      <c r="C585" s="73" t="str">
        <v>SpareOfferC26</v>
      </c>
      <c r="D585" t="s">
        <v>301</v>
      </c>
      <c r="F585" s="234">
        <f t="shared" si="399"/>
        <v>0</v>
      </c>
      <c r="H585" s="232">
        <f t="shared" ref="H585" si="450">H547*H$517</f>
        <v>0</v>
      </c>
      <c r="I585" s="232">
        <f t="shared" ref="I585:P585" si="451">I547*I$517</f>
        <v>0</v>
      </c>
      <c r="J585" s="232">
        <f t="shared" si="451"/>
        <v>0</v>
      </c>
      <c r="K585" s="232">
        <f t="shared" si="451"/>
        <v>0</v>
      </c>
      <c r="L585" s="232">
        <f t="shared" si="451"/>
        <v>0</v>
      </c>
      <c r="M585" s="232">
        <f t="shared" si="451"/>
        <v>0</v>
      </c>
      <c r="N585" s="232">
        <f t="shared" si="451"/>
        <v>0</v>
      </c>
      <c r="O585" s="232">
        <f t="shared" si="451"/>
        <v>0</v>
      </c>
      <c r="P585" s="232">
        <f t="shared" si="451"/>
        <v>0</v>
      </c>
    </row>
    <row r="586" spans="3:16" hidden="1" outlineLevel="2">
      <c r="C586" s="73" t="str">
        <v>SpareOfferC27</v>
      </c>
      <c r="D586" t="s">
        <v>301</v>
      </c>
      <c r="F586" s="234">
        <f t="shared" si="399"/>
        <v>0</v>
      </c>
      <c r="H586" s="232">
        <f t="shared" ref="H586" si="452">H548*H$517</f>
        <v>0</v>
      </c>
      <c r="I586" s="232">
        <f t="shared" ref="I586:P586" si="453">I548*I$517</f>
        <v>0</v>
      </c>
      <c r="J586" s="232">
        <f t="shared" si="453"/>
        <v>0</v>
      </c>
      <c r="K586" s="232">
        <f t="shared" si="453"/>
        <v>0</v>
      </c>
      <c r="L586" s="232">
        <f t="shared" si="453"/>
        <v>0</v>
      </c>
      <c r="M586" s="232">
        <f t="shared" si="453"/>
        <v>0</v>
      </c>
      <c r="N586" s="232">
        <f t="shared" si="453"/>
        <v>0</v>
      </c>
      <c r="O586" s="232">
        <f t="shared" si="453"/>
        <v>0</v>
      </c>
      <c r="P586" s="232">
        <f t="shared" si="453"/>
        <v>0</v>
      </c>
    </row>
    <row r="587" spans="3:16" hidden="1" outlineLevel="2">
      <c r="C587" s="73" t="str">
        <v>SpareOfferC28</v>
      </c>
      <c r="D587" t="s">
        <v>301</v>
      </c>
      <c r="F587" s="234">
        <f t="shared" si="399"/>
        <v>0</v>
      </c>
      <c r="H587" s="232">
        <f t="shared" ref="H587" si="454">H549*H$517</f>
        <v>0</v>
      </c>
      <c r="I587" s="232">
        <f t="shared" ref="I587:P587" si="455">I549*I$517</f>
        <v>0</v>
      </c>
      <c r="J587" s="232">
        <f t="shared" si="455"/>
        <v>0</v>
      </c>
      <c r="K587" s="232">
        <f t="shared" si="455"/>
        <v>0</v>
      </c>
      <c r="L587" s="232">
        <f t="shared" si="455"/>
        <v>0</v>
      </c>
      <c r="M587" s="232">
        <f t="shared" si="455"/>
        <v>0</v>
      </c>
      <c r="N587" s="232">
        <f t="shared" si="455"/>
        <v>0</v>
      </c>
      <c r="O587" s="232">
        <f t="shared" si="455"/>
        <v>0</v>
      </c>
      <c r="P587" s="232">
        <f t="shared" si="455"/>
        <v>0</v>
      </c>
    </row>
    <row r="588" spans="3:16" hidden="1" outlineLevel="2">
      <c r="C588" s="73" t="str">
        <v>SpareOfferC29</v>
      </c>
      <c r="D588" t="s">
        <v>301</v>
      </c>
      <c r="F588" s="234">
        <f t="shared" si="399"/>
        <v>0</v>
      </c>
      <c r="H588" s="232">
        <f t="shared" ref="H588" si="456">H550*H$517</f>
        <v>0</v>
      </c>
      <c r="I588" s="232">
        <f t="shared" ref="I588:P588" si="457">I550*I$517</f>
        <v>0</v>
      </c>
      <c r="J588" s="232">
        <f t="shared" si="457"/>
        <v>0</v>
      </c>
      <c r="K588" s="232">
        <f t="shared" si="457"/>
        <v>0</v>
      </c>
      <c r="L588" s="232">
        <f t="shared" si="457"/>
        <v>0</v>
      </c>
      <c r="M588" s="232">
        <f t="shared" si="457"/>
        <v>0</v>
      </c>
      <c r="N588" s="232">
        <f t="shared" si="457"/>
        <v>0</v>
      </c>
      <c r="O588" s="232">
        <f t="shared" si="457"/>
        <v>0</v>
      </c>
      <c r="P588" s="232">
        <f t="shared" si="457"/>
        <v>0</v>
      </c>
    </row>
    <row r="589" spans="3:16" hidden="1" outlineLevel="2">
      <c r="C589" s="73" t="str">
        <v>SpareOfferC30</v>
      </c>
      <c r="D589" t="s">
        <v>301</v>
      </c>
      <c r="F589" s="234">
        <f t="shared" si="399"/>
        <v>0</v>
      </c>
      <c r="H589" s="232">
        <f t="shared" ref="H589" si="458">H551*H$517</f>
        <v>0</v>
      </c>
      <c r="I589" s="232">
        <f t="shared" ref="I589:P589" si="459">I551*I$517</f>
        <v>0</v>
      </c>
      <c r="J589" s="232">
        <f t="shared" si="459"/>
        <v>0</v>
      </c>
      <c r="K589" s="232">
        <f t="shared" si="459"/>
        <v>0</v>
      </c>
      <c r="L589" s="232">
        <f t="shared" si="459"/>
        <v>0</v>
      </c>
      <c r="M589" s="232">
        <f t="shared" si="459"/>
        <v>0</v>
      </c>
      <c r="N589" s="232">
        <f t="shared" si="459"/>
        <v>0</v>
      </c>
      <c r="O589" s="232">
        <f t="shared" si="459"/>
        <v>0</v>
      </c>
      <c r="P589" s="232">
        <f t="shared" si="459"/>
        <v>0</v>
      </c>
    </row>
    <row r="590" spans="3:16" hidden="1" outlineLevel="2">
      <c r="C590" s="73" t="str">
        <v>SpareOfferC31</v>
      </c>
      <c r="D590" t="s">
        <v>301</v>
      </c>
      <c r="F590" s="234">
        <f t="shared" si="399"/>
        <v>0</v>
      </c>
      <c r="H590" s="232">
        <f t="shared" ref="H590" si="460">H552*H$517</f>
        <v>0</v>
      </c>
      <c r="I590" s="232">
        <f t="shared" ref="I590:P590" si="461">I552*I$517</f>
        <v>0</v>
      </c>
      <c r="J590" s="232">
        <f t="shared" si="461"/>
        <v>0</v>
      </c>
      <c r="K590" s="232">
        <f t="shared" si="461"/>
        <v>0</v>
      </c>
      <c r="L590" s="232">
        <f t="shared" si="461"/>
        <v>0</v>
      </c>
      <c r="M590" s="232">
        <f t="shared" si="461"/>
        <v>0</v>
      </c>
      <c r="N590" s="232">
        <f t="shared" si="461"/>
        <v>0</v>
      </c>
      <c r="O590" s="232">
        <f t="shared" si="461"/>
        <v>0</v>
      </c>
      <c r="P590" s="232">
        <f t="shared" si="461"/>
        <v>0</v>
      </c>
    </row>
    <row r="591" spans="3:16" hidden="1" outlineLevel="2">
      <c r="C591" s="73" t="str">
        <v>SpareOfferC32</v>
      </c>
      <c r="D591" t="s">
        <v>301</v>
      </c>
      <c r="F591" s="234">
        <f t="shared" si="399"/>
        <v>0</v>
      </c>
      <c r="H591" s="232">
        <f t="shared" ref="H591" si="462">H553*H$517</f>
        <v>0</v>
      </c>
      <c r="I591" s="232">
        <f t="shared" ref="I591:P591" si="463">I553*I$517</f>
        <v>0</v>
      </c>
      <c r="J591" s="232">
        <f t="shared" si="463"/>
        <v>0</v>
      </c>
      <c r="K591" s="232">
        <f t="shared" si="463"/>
        <v>0</v>
      </c>
      <c r="L591" s="232">
        <f t="shared" si="463"/>
        <v>0</v>
      </c>
      <c r="M591" s="232">
        <f t="shared" si="463"/>
        <v>0</v>
      </c>
      <c r="N591" s="232">
        <f t="shared" si="463"/>
        <v>0</v>
      </c>
      <c r="O591" s="232">
        <f t="shared" si="463"/>
        <v>0</v>
      </c>
      <c r="P591" s="232">
        <f t="shared" si="463"/>
        <v>0</v>
      </c>
    </row>
    <row r="592" spans="3:16" hidden="1" outlineLevel="2">
      <c r="C592" s="73" t="str">
        <v>SpareOfferC33</v>
      </c>
      <c r="D592" t="s">
        <v>301</v>
      </c>
      <c r="F592" s="234">
        <f t="shared" si="399"/>
        <v>0</v>
      </c>
      <c r="H592" s="232">
        <f t="shared" ref="H592" si="464">H554*H$517</f>
        <v>0</v>
      </c>
      <c r="I592" s="232">
        <f t="shared" ref="I592:P592" si="465">I554*I$517</f>
        <v>0</v>
      </c>
      <c r="J592" s="232">
        <f t="shared" si="465"/>
        <v>0</v>
      </c>
      <c r="K592" s="232">
        <f t="shared" si="465"/>
        <v>0</v>
      </c>
      <c r="L592" s="232">
        <f t="shared" si="465"/>
        <v>0</v>
      </c>
      <c r="M592" s="232">
        <f t="shared" si="465"/>
        <v>0</v>
      </c>
      <c r="N592" s="232">
        <f t="shared" si="465"/>
        <v>0</v>
      </c>
      <c r="O592" s="232">
        <f t="shared" si="465"/>
        <v>0</v>
      </c>
      <c r="P592" s="232">
        <f t="shared" si="465"/>
        <v>0</v>
      </c>
    </row>
    <row r="593" spans="1:16" hidden="1" outlineLevel="2">
      <c r="C593" s="73" t="str">
        <v>SpareOfferC34</v>
      </c>
      <c r="D593" t="s">
        <v>301</v>
      </c>
      <c r="F593" s="234">
        <f t="shared" si="399"/>
        <v>0</v>
      </c>
      <c r="H593" s="232">
        <f t="shared" ref="H593" si="466">H555*H$517</f>
        <v>0</v>
      </c>
      <c r="I593" s="232">
        <f t="shared" ref="I593:P593" si="467">I555*I$517</f>
        <v>0</v>
      </c>
      <c r="J593" s="232">
        <f t="shared" si="467"/>
        <v>0</v>
      </c>
      <c r="K593" s="232">
        <f t="shared" si="467"/>
        <v>0</v>
      </c>
      <c r="L593" s="232">
        <f t="shared" si="467"/>
        <v>0</v>
      </c>
      <c r="M593" s="232">
        <f t="shared" si="467"/>
        <v>0</v>
      </c>
      <c r="N593" s="232">
        <f t="shared" si="467"/>
        <v>0</v>
      </c>
      <c r="O593" s="232">
        <f t="shared" si="467"/>
        <v>0</v>
      </c>
      <c r="P593" s="232">
        <f t="shared" si="467"/>
        <v>0</v>
      </c>
    </row>
    <row r="594" spans="1:16" outlineLevel="1" collapsed="1">
      <c r="C594" s="73" t="str">
        <v>SpareOfferC35</v>
      </c>
      <c r="D594" t="s">
        <v>301</v>
      </c>
      <c r="F594" s="234">
        <f>SUM(H594:P594)</f>
        <v>0</v>
      </c>
      <c r="H594" s="232">
        <f t="shared" ref="H594" si="468">H556*H$517</f>
        <v>0</v>
      </c>
      <c r="I594" s="232">
        <f t="shared" ref="I594:P594" si="469">I556*I$517</f>
        <v>0</v>
      </c>
      <c r="J594" s="232">
        <f t="shared" si="469"/>
        <v>0</v>
      </c>
      <c r="K594" s="232">
        <f t="shared" si="469"/>
        <v>0</v>
      </c>
      <c r="L594" s="232">
        <f t="shared" si="469"/>
        <v>0</v>
      </c>
      <c r="M594" s="232">
        <f t="shared" si="469"/>
        <v>0</v>
      </c>
      <c r="N594" s="232">
        <f t="shared" si="469"/>
        <v>0</v>
      </c>
      <c r="O594" s="232">
        <f t="shared" si="469"/>
        <v>0</v>
      </c>
      <c r="P594" s="232">
        <f t="shared" si="469"/>
        <v>0</v>
      </c>
    </row>
    <row r="596" spans="1:16" s="220" customFormat="1">
      <c r="A596" s="220">
        <v>4</v>
      </c>
      <c r="B596" s="221" t="str">
        <f>INDEX(segments,A596)</f>
        <v>SpareSegmentD</v>
      </c>
      <c r="C596" s="207"/>
    </row>
    <row r="597" spans="1:16" outlineLevel="1"/>
    <row r="598" spans="1:16" ht="23.25" customHeight="1" outlineLevel="1">
      <c r="B598" s="91" t="s">
        <v>341</v>
      </c>
      <c r="H598" s="1" t="str">
        <f t="array" ref="H598:P598">options.selected.roaming.detailed</f>
        <v>Roaming voice (EEA)</v>
      </c>
      <c r="I598" s="1" t="str">
        <v>Roaming voice (non-EEA)</v>
      </c>
      <c r="J598" s="1" t="str">
        <v>Roaming CF (EEA)</v>
      </c>
      <c r="K598" s="1" t="str">
        <v>Roaming CF (non-EEA)</v>
      </c>
      <c r="L598" s="1" t="str">
        <v>Roaming messages (EEA)</v>
      </c>
      <c r="M598" s="1" t="str">
        <v>Roaming messages (non-EEA)</v>
      </c>
      <c r="N598" s="1" t="str">
        <v>Roaming data (EEA)</v>
      </c>
      <c r="O598" s="1" t="str">
        <v>Roaming data (non-EEA)</v>
      </c>
      <c r="P598" s="1" t="str">
        <v>Spare 1</v>
      </c>
    </row>
    <row r="599" spans="1:16" outlineLevel="1">
      <c r="C599" t="s">
        <v>341</v>
      </c>
      <c r="D599" t="s">
        <v>338</v>
      </c>
      <c r="H599" s="239">
        <f t="array" ref="H599:P599">Roaming.IC</f>
        <v>0</v>
      </c>
      <c r="I599" s="239">
        <v>0</v>
      </c>
      <c r="J599" s="239">
        <v>0</v>
      </c>
      <c r="K599" s="239">
        <v>0</v>
      </c>
      <c r="L599" s="239">
        <v>0</v>
      </c>
      <c r="M599" s="239">
        <v>0</v>
      </c>
      <c r="N599" s="239">
        <v>0</v>
      </c>
      <c r="O599" s="239">
        <v>0</v>
      </c>
      <c r="P599" s="239">
        <v>0</v>
      </c>
    </row>
    <row r="600" spans="1:16" outlineLevel="1"/>
    <row r="601" spans="1:16" outlineLevel="1">
      <c r="H601">
        <f t="shared" ref="H601:P601" si="470">MATCH(H602,demand.descriptions.short,0)</f>
        <v>10</v>
      </c>
      <c r="I601">
        <f t="shared" si="470"/>
        <v>11</v>
      </c>
      <c r="J601">
        <f t="shared" si="470"/>
        <v>12</v>
      </c>
      <c r="K601">
        <f t="shared" si="470"/>
        <v>13</v>
      </c>
      <c r="L601">
        <f t="shared" si="470"/>
        <v>15</v>
      </c>
      <c r="M601">
        <f t="shared" si="470"/>
        <v>16</v>
      </c>
      <c r="N601">
        <f t="shared" si="470"/>
        <v>18</v>
      </c>
      <c r="O601">
        <f t="shared" si="470"/>
        <v>19</v>
      </c>
      <c r="P601">
        <f t="shared" si="470"/>
        <v>23</v>
      </c>
    </row>
    <row r="602" spans="1:16" ht="34.5" outlineLevel="1">
      <c r="B602" s="91" t="s">
        <v>194</v>
      </c>
      <c r="F602" s="119" t="s">
        <v>223</v>
      </c>
      <c r="H602" s="1" t="str">
        <f t="array" ref="H602:P602">options.selected.roaming.detailed</f>
        <v>Roaming voice (EEA)</v>
      </c>
      <c r="I602" s="1" t="str">
        <v>Roaming voice (non-EEA)</v>
      </c>
      <c r="J602" s="1" t="str">
        <v>Roaming CF (EEA)</v>
      </c>
      <c r="K602" s="1" t="str">
        <v>Roaming CF (non-EEA)</v>
      </c>
      <c r="L602" s="1" t="str">
        <v>Roaming messages (EEA)</v>
      </c>
      <c r="M602" s="1" t="str">
        <v>Roaming messages (non-EEA)</v>
      </c>
      <c r="N602" s="1" t="str">
        <v>Roaming data (EEA)</v>
      </c>
      <c r="O602" s="1" t="str">
        <v>Roaming data (non-EEA)</v>
      </c>
      <c r="P602" s="1" t="str">
        <v>Spare 1</v>
      </c>
    </row>
    <row r="603" spans="1:16" outlineLevel="1">
      <c r="C603" s="91" t="s">
        <v>222</v>
      </c>
      <c r="D603" t="s">
        <v>174</v>
      </c>
      <c r="H603" s="106">
        <f>SUMPRODUCT(H604:H638,$F604:$F638)</f>
        <v>0</v>
      </c>
      <c r="I603" s="106">
        <f t="shared" ref="I603:P603" si="471">SUMPRODUCT(I604:I638,$F604:$F638)</f>
        <v>0</v>
      </c>
      <c r="J603" s="106">
        <f t="shared" si="471"/>
        <v>0</v>
      </c>
      <c r="K603" s="106">
        <f t="shared" si="471"/>
        <v>0</v>
      </c>
      <c r="L603" s="106">
        <f t="shared" si="471"/>
        <v>0</v>
      </c>
      <c r="M603" s="106">
        <f t="shared" si="471"/>
        <v>0</v>
      </c>
      <c r="N603" s="106">
        <f t="shared" si="471"/>
        <v>0</v>
      </c>
      <c r="O603" s="106">
        <f t="shared" si="471"/>
        <v>0</v>
      </c>
      <c r="P603" s="106">
        <f t="shared" si="471"/>
        <v>0</v>
      </c>
    </row>
    <row r="604" spans="1:16" outlineLevel="1">
      <c r="B604">
        <f t="shared" ref="B604:B638" si="472">MATCH(C604,offers.segment.all,0)</f>
        <v>106</v>
      </c>
      <c r="C604" s="73" t="str">
        <f t="array" ref="C604:C638">offers.segment.4</f>
        <v>SpareOfferD1</v>
      </c>
      <c r="D604" t="s">
        <v>174</v>
      </c>
      <c r="F604" s="87">
        <f t="array" ref="F604:F638">subscription.split.segment.4</f>
        <v>0</v>
      </c>
      <c r="H604" s="230">
        <f t="shared" ref="H604:P613" si="473">INDEX(per.sub.volumes.by.demand.descriptions,$B604,H$601)</f>
        <v>0</v>
      </c>
      <c r="I604" s="230">
        <f t="shared" si="473"/>
        <v>0</v>
      </c>
      <c r="J604" s="230">
        <f t="shared" si="473"/>
        <v>0</v>
      </c>
      <c r="K604" s="230">
        <f t="shared" si="473"/>
        <v>0</v>
      </c>
      <c r="L604" s="230">
        <f t="shared" si="473"/>
        <v>0</v>
      </c>
      <c r="M604" s="230">
        <f t="shared" si="473"/>
        <v>0</v>
      </c>
      <c r="N604" s="230">
        <f t="shared" si="473"/>
        <v>0</v>
      </c>
      <c r="O604" s="230">
        <f t="shared" si="473"/>
        <v>0</v>
      </c>
      <c r="P604" s="230">
        <f t="shared" si="473"/>
        <v>0</v>
      </c>
    </row>
    <row r="605" spans="1:16" hidden="1" outlineLevel="2">
      <c r="B605">
        <f t="shared" si="472"/>
        <v>107</v>
      </c>
      <c r="C605" s="73" t="str">
        <v>SpareOfferD2</v>
      </c>
      <c r="D605" t="s">
        <v>174</v>
      </c>
      <c r="F605" s="87">
        <v>0</v>
      </c>
      <c r="H605" s="230">
        <f t="shared" si="473"/>
        <v>0</v>
      </c>
      <c r="I605" s="230">
        <f t="shared" si="473"/>
        <v>0</v>
      </c>
      <c r="J605" s="230">
        <f t="shared" si="473"/>
        <v>0</v>
      </c>
      <c r="K605" s="230">
        <f t="shared" si="473"/>
        <v>0</v>
      </c>
      <c r="L605" s="230">
        <f t="shared" si="473"/>
        <v>0</v>
      </c>
      <c r="M605" s="230">
        <f t="shared" si="473"/>
        <v>0</v>
      </c>
      <c r="N605" s="230">
        <f t="shared" si="473"/>
        <v>0</v>
      </c>
      <c r="O605" s="230">
        <f t="shared" si="473"/>
        <v>0</v>
      </c>
      <c r="P605" s="230">
        <f t="shared" si="473"/>
        <v>0</v>
      </c>
    </row>
    <row r="606" spans="1:16" hidden="1" outlineLevel="2">
      <c r="B606">
        <f t="shared" si="472"/>
        <v>108</v>
      </c>
      <c r="C606" s="73" t="str">
        <v>SpareOfferD3</v>
      </c>
      <c r="D606" t="s">
        <v>174</v>
      </c>
      <c r="F606" s="87">
        <v>0</v>
      </c>
      <c r="H606" s="230">
        <f t="shared" si="473"/>
        <v>0</v>
      </c>
      <c r="I606" s="230">
        <f t="shared" si="473"/>
        <v>0</v>
      </c>
      <c r="J606" s="230">
        <f t="shared" si="473"/>
        <v>0</v>
      </c>
      <c r="K606" s="230">
        <f t="shared" si="473"/>
        <v>0</v>
      </c>
      <c r="L606" s="230">
        <f t="shared" si="473"/>
        <v>0</v>
      </c>
      <c r="M606" s="230">
        <f t="shared" si="473"/>
        <v>0</v>
      </c>
      <c r="N606" s="230">
        <f t="shared" si="473"/>
        <v>0</v>
      </c>
      <c r="O606" s="230">
        <f t="shared" si="473"/>
        <v>0</v>
      </c>
      <c r="P606" s="230">
        <f t="shared" si="473"/>
        <v>0</v>
      </c>
    </row>
    <row r="607" spans="1:16" hidden="1" outlineLevel="2">
      <c r="B607">
        <f t="shared" si="472"/>
        <v>109</v>
      </c>
      <c r="C607" s="73" t="str">
        <v>SpareOfferD4</v>
      </c>
      <c r="D607" t="s">
        <v>174</v>
      </c>
      <c r="F607" s="87">
        <v>0</v>
      </c>
      <c r="H607" s="230">
        <f t="shared" si="473"/>
        <v>0</v>
      </c>
      <c r="I607" s="230">
        <f t="shared" si="473"/>
        <v>0</v>
      </c>
      <c r="J607" s="230">
        <f t="shared" si="473"/>
        <v>0</v>
      </c>
      <c r="K607" s="230">
        <f t="shared" si="473"/>
        <v>0</v>
      </c>
      <c r="L607" s="230">
        <f t="shared" si="473"/>
        <v>0</v>
      </c>
      <c r="M607" s="230">
        <f t="shared" si="473"/>
        <v>0</v>
      </c>
      <c r="N607" s="230">
        <f t="shared" si="473"/>
        <v>0</v>
      </c>
      <c r="O607" s="230">
        <f t="shared" si="473"/>
        <v>0</v>
      </c>
      <c r="P607" s="230">
        <f t="shared" si="473"/>
        <v>0</v>
      </c>
    </row>
    <row r="608" spans="1:16" hidden="1" outlineLevel="2">
      <c r="B608">
        <f t="shared" si="472"/>
        <v>110</v>
      </c>
      <c r="C608" s="73" t="str">
        <v>SpareOfferD5</v>
      </c>
      <c r="D608" t="s">
        <v>174</v>
      </c>
      <c r="F608" s="87">
        <v>0</v>
      </c>
      <c r="H608" s="230">
        <f t="shared" si="473"/>
        <v>0</v>
      </c>
      <c r="I608" s="230">
        <f t="shared" si="473"/>
        <v>0</v>
      </c>
      <c r="J608" s="230">
        <f t="shared" si="473"/>
        <v>0</v>
      </c>
      <c r="K608" s="230">
        <f t="shared" si="473"/>
        <v>0</v>
      </c>
      <c r="L608" s="230">
        <f t="shared" si="473"/>
        <v>0</v>
      </c>
      <c r="M608" s="230">
        <f t="shared" si="473"/>
        <v>0</v>
      </c>
      <c r="N608" s="230">
        <f t="shared" si="473"/>
        <v>0</v>
      </c>
      <c r="O608" s="230">
        <f t="shared" si="473"/>
        <v>0</v>
      </c>
      <c r="P608" s="230">
        <f t="shared" si="473"/>
        <v>0</v>
      </c>
    </row>
    <row r="609" spans="2:16" hidden="1" outlineLevel="2">
      <c r="B609">
        <f t="shared" si="472"/>
        <v>111</v>
      </c>
      <c r="C609" s="73" t="str">
        <v>SpareOfferD6</v>
      </c>
      <c r="D609" t="s">
        <v>174</v>
      </c>
      <c r="F609" s="87">
        <v>0</v>
      </c>
      <c r="H609" s="230">
        <f t="shared" si="473"/>
        <v>0</v>
      </c>
      <c r="I609" s="230">
        <f t="shared" si="473"/>
        <v>0</v>
      </c>
      <c r="J609" s="230">
        <f t="shared" si="473"/>
        <v>0</v>
      </c>
      <c r="K609" s="230">
        <f t="shared" si="473"/>
        <v>0</v>
      </c>
      <c r="L609" s="230">
        <f t="shared" si="473"/>
        <v>0</v>
      </c>
      <c r="M609" s="230">
        <f t="shared" si="473"/>
        <v>0</v>
      </c>
      <c r="N609" s="230">
        <f t="shared" si="473"/>
        <v>0</v>
      </c>
      <c r="O609" s="230">
        <f t="shared" si="473"/>
        <v>0</v>
      </c>
      <c r="P609" s="230">
        <f t="shared" si="473"/>
        <v>0</v>
      </c>
    </row>
    <row r="610" spans="2:16" hidden="1" outlineLevel="2">
      <c r="B610">
        <f t="shared" si="472"/>
        <v>112</v>
      </c>
      <c r="C610" s="73" t="str">
        <v>SpareOfferD7</v>
      </c>
      <c r="D610" t="s">
        <v>174</v>
      </c>
      <c r="F610" s="87">
        <v>0</v>
      </c>
      <c r="H610" s="230">
        <f t="shared" si="473"/>
        <v>0</v>
      </c>
      <c r="I610" s="230">
        <f t="shared" si="473"/>
        <v>0</v>
      </c>
      <c r="J610" s="230">
        <f t="shared" si="473"/>
        <v>0</v>
      </c>
      <c r="K610" s="230">
        <f t="shared" si="473"/>
        <v>0</v>
      </c>
      <c r="L610" s="230">
        <f t="shared" si="473"/>
        <v>0</v>
      </c>
      <c r="M610" s="230">
        <f t="shared" si="473"/>
        <v>0</v>
      </c>
      <c r="N610" s="230">
        <f t="shared" si="473"/>
        <v>0</v>
      </c>
      <c r="O610" s="230">
        <f t="shared" si="473"/>
        <v>0</v>
      </c>
      <c r="P610" s="230">
        <f t="shared" si="473"/>
        <v>0</v>
      </c>
    </row>
    <row r="611" spans="2:16" hidden="1" outlineLevel="2">
      <c r="B611">
        <f t="shared" si="472"/>
        <v>113</v>
      </c>
      <c r="C611" s="73" t="str">
        <v>SpareOfferD8</v>
      </c>
      <c r="D611" t="s">
        <v>174</v>
      </c>
      <c r="F611" s="87">
        <v>0</v>
      </c>
      <c r="H611" s="230">
        <f t="shared" si="473"/>
        <v>0</v>
      </c>
      <c r="I611" s="230">
        <f t="shared" si="473"/>
        <v>0</v>
      </c>
      <c r="J611" s="230">
        <f t="shared" si="473"/>
        <v>0</v>
      </c>
      <c r="K611" s="230">
        <f t="shared" si="473"/>
        <v>0</v>
      </c>
      <c r="L611" s="230">
        <f t="shared" si="473"/>
        <v>0</v>
      </c>
      <c r="M611" s="230">
        <f t="shared" si="473"/>
        <v>0</v>
      </c>
      <c r="N611" s="230">
        <f t="shared" si="473"/>
        <v>0</v>
      </c>
      <c r="O611" s="230">
        <f t="shared" si="473"/>
        <v>0</v>
      </c>
      <c r="P611" s="230">
        <f t="shared" si="473"/>
        <v>0</v>
      </c>
    </row>
    <row r="612" spans="2:16" hidden="1" outlineLevel="2">
      <c r="B612">
        <f t="shared" si="472"/>
        <v>114</v>
      </c>
      <c r="C612" s="73" t="str">
        <v>SpareOfferD9</v>
      </c>
      <c r="D612" t="s">
        <v>174</v>
      </c>
      <c r="F612" s="87">
        <v>0</v>
      </c>
      <c r="H612" s="230">
        <f t="shared" si="473"/>
        <v>0</v>
      </c>
      <c r="I612" s="230">
        <f t="shared" si="473"/>
        <v>0</v>
      </c>
      <c r="J612" s="230">
        <f t="shared" si="473"/>
        <v>0</v>
      </c>
      <c r="K612" s="230">
        <f t="shared" si="473"/>
        <v>0</v>
      </c>
      <c r="L612" s="230">
        <f t="shared" si="473"/>
        <v>0</v>
      </c>
      <c r="M612" s="230">
        <f t="shared" si="473"/>
        <v>0</v>
      </c>
      <c r="N612" s="230">
        <f t="shared" si="473"/>
        <v>0</v>
      </c>
      <c r="O612" s="230">
        <f t="shared" si="473"/>
        <v>0</v>
      </c>
      <c r="P612" s="230">
        <f t="shared" si="473"/>
        <v>0</v>
      </c>
    </row>
    <row r="613" spans="2:16" hidden="1" outlineLevel="2">
      <c r="B613">
        <f t="shared" si="472"/>
        <v>115</v>
      </c>
      <c r="C613" s="73" t="str">
        <v>SpareOfferD10</v>
      </c>
      <c r="D613" t="s">
        <v>174</v>
      </c>
      <c r="F613" s="87">
        <v>0</v>
      </c>
      <c r="H613" s="230">
        <f t="shared" si="473"/>
        <v>0</v>
      </c>
      <c r="I613" s="230">
        <f t="shared" si="473"/>
        <v>0</v>
      </c>
      <c r="J613" s="230">
        <f t="shared" si="473"/>
        <v>0</v>
      </c>
      <c r="K613" s="230">
        <f t="shared" si="473"/>
        <v>0</v>
      </c>
      <c r="L613" s="230">
        <f t="shared" si="473"/>
        <v>0</v>
      </c>
      <c r="M613" s="230">
        <f t="shared" si="473"/>
        <v>0</v>
      </c>
      <c r="N613" s="230">
        <f t="shared" si="473"/>
        <v>0</v>
      </c>
      <c r="O613" s="230">
        <f t="shared" si="473"/>
        <v>0</v>
      </c>
      <c r="P613" s="230">
        <f t="shared" si="473"/>
        <v>0</v>
      </c>
    </row>
    <row r="614" spans="2:16" hidden="1" outlineLevel="2">
      <c r="B614">
        <f t="shared" si="472"/>
        <v>116</v>
      </c>
      <c r="C614" s="73" t="str">
        <v>SpareOfferD11</v>
      </c>
      <c r="D614" t="s">
        <v>174</v>
      </c>
      <c r="F614" s="87">
        <v>0</v>
      </c>
      <c r="H614" s="230">
        <f t="shared" ref="H614:P623" si="474">INDEX(per.sub.volumes.by.demand.descriptions,$B614,H$601)</f>
        <v>0</v>
      </c>
      <c r="I614" s="230">
        <f t="shared" si="474"/>
        <v>0</v>
      </c>
      <c r="J614" s="230">
        <f t="shared" si="474"/>
        <v>0</v>
      </c>
      <c r="K614" s="230">
        <f t="shared" si="474"/>
        <v>0</v>
      </c>
      <c r="L614" s="230">
        <f t="shared" si="474"/>
        <v>0</v>
      </c>
      <c r="M614" s="230">
        <f t="shared" si="474"/>
        <v>0</v>
      </c>
      <c r="N614" s="230">
        <f t="shared" si="474"/>
        <v>0</v>
      </c>
      <c r="O614" s="230">
        <f t="shared" si="474"/>
        <v>0</v>
      </c>
      <c r="P614" s="230">
        <f t="shared" si="474"/>
        <v>0</v>
      </c>
    </row>
    <row r="615" spans="2:16" hidden="1" outlineLevel="2">
      <c r="B615">
        <f t="shared" si="472"/>
        <v>117</v>
      </c>
      <c r="C615" s="73" t="str">
        <v>SpareOfferD12</v>
      </c>
      <c r="D615" t="s">
        <v>174</v>
      </c>
      <c r="F615" s="87">
        <v>0</v>
      </c>
      <c r="H615" s="230">
        <f t="shared" si="474"/>
        <v>0</v>
      </c>
      <c r="I615" s="230">
        <f t="shared" si="474"/>
        <v>0</v>
      </c>
      <c r="J615" s="230">
        <f t="shared" si="474"/>
        <v>0</v>
      </c>
      <c r="K615" s="230">
        <f t="shared" si="474"/>
        <v>0</v>
      </c>
      <c r="L615" s="230">
        <f t="shared" si="474"/>
        <v>0</v>
      </c>
      <c r="M615" s="230">
        <f t="shared" si="474"/>
        <v>0</v>
      </c>
      <c r="N615" s="230">
        <f t="shared" si="474"/>
        <v>0</v>
      </c>
      <c r="O615" s="230">
        <f t="shared" si="474"/>
        <v>0</v>
      </c>
      <c r="P615" s="230">
        <f t="shared" si="474"/>
        <v>0</v>
      </c>
    </row>
    <row r="616" spans="2:16" hidden="1" outlineLevel="2">
      <c r="B616">
        <f t="shared" si="472"/>
        <v>118</v>
      </c>
      <c r="C616" s="73" t="str">
        <v>SpareOfferD13</v>
      </c>
      <c r="D616" t="s">
        <v>174</v>
      </c>
      <c r="F616" s="87">
        <v>0</v>
      </c>
      <c r="H616" s="230">
        <f t="shared" si="474"/>
        <v>0</v>
      </c>
      <c r="I616" s="230">
        <f t="shared" si="474"/>
        <v>0</v>
      </c>
      <c r="J616" s="230">
        <f t="shared" si="474"/>
        <v>0</v>
      </c>
      <c r="K616" s="230">
        <f t="shared" si="474"/>
        <v>0</v>
      </c>
      <c r="L616" s="230">
        <f t="shared" si="474"/>
        <v>0</v>
      </c>
      <c r="M616" s="230">
        <f t="shared" si="474"/>
        <v>0</v>
      </c>
      <c r="N616" s="230">
        <f t="shared" si="474"/>
        <v>0</v>
      </c>
      <c r="O616" s="230">
        <f t="shared" si="474"/>
        <v>0</v>
      </c>
      <c r="P616" s="230">
        <f t="shared" si="474"/>
        <v>0</v>
      </c>
    </row>
    <row r="617" spans="2:16" hidden="1" outlineLevel="2">
      <c r="B617">
        <f t="shared" si="472"/>
        <v>119</v>
      </c>
      <c r="C617" s="73" t="str">
        <v>SpareOfferD14</v>
      </c>
      <c r="D617" t="s">
        <v>174</v>
      </c>
      <c r="F617" s="87">
        <v>0</v>
      </c>
      <c r="H617" s="230">
        <f t="shared" si="474"/>
        <v>0</v>
      </c>
      <c r="I617" s="230">
        <f t="shared" si="474"/>
        <v>0</v>
      </c>
      <c r="J617" s="230">
        <f t="shared" si="474"/>
        <v>0</v>
      </c>
      <c r="K617" s="230">
        <f t="shared" si="474"/>
        <v>0</v>
      </c>
      <c r="L617" s="230">
        <f t="shared" si="474"/>
        <v>0</v>
      </c>
      <c r="M617" s="230">
        <f t="shared" si="474"/>
        <v>0</v>
      </c>
      <c r="N617" s="230">
        <f t="shared" si="474"/>
        <v>0</v>
      </c>
      <c r="O617" s="230">
        <f t="shared" si="474"/>
        <v>0</v>
      </c>
      <c r="P617" s="230">
        <f t="shared" si="474"/>
        <v>0</v>
      </c>
    </row>
    <row r="618" spans="2:16" hidden="1" outlineLevel="2">
      <c r="B618">
        <f t="shared" si="472"/>
        <v>120</v>
      </c>
      <c r="C618" s="73" t="str">
        <v>SpareOfferD15</v>
      </c>
      <c r="D618" t="s">
        <v>174</v>
      </c>
      <c r="F618" s="87">
        <v>0</v>
      </c>
      <c r="H618" s="230">
        <f t="shared" si="474"/>
        <v>0</v>
      </c>
      <c r="I618" s="230">
        <f t="shared" si="474"/>
        <v>0</v>
      </c>
      <c r="J618" s="230">
        <f t="shared" si="474"/>
        <v>0</v>
      </c>
      <c r="K618" s="230">
        <f t="shared" si="474"/>
        <v>0</v>
      </c>
      <c r="L618" s="230">
        <f t="shared" si="474"/>
        <v>0</v>
      </c>
      <c r="M618" s="230">
        <f t="shared" si="474"/>
        <v>0</v>
      </c>
      <c r="N618" s="230">
        <f t="shared" si="474"/>
        <v>0</v>
      </c>
      <c r="O618" s="230">
        <f t="shared" si="474"/>
        <v>0</v>
      </c>
      <c r="P618" s="230">
        <f t="shared" si="474"/>
        <v>0</v>
      </c>
    </row>
    <row r="619" spans="2:16" hidden="1" outlineLevel="2">
      <c r="B619">
        <f t="shared" si="472"/>
        <v>121</v>
      </c>
      <c r="C619" s="73" t="str">
        <v>SpareOfferD16</v>
      </c>
      <c r="D619" t="s">
        <v>174</v>
      </c>
      <c r="F619" s="87">
        <v>0</v>
      </c>
      <c r="H619" s="230">
        <f t="shared" si="474"/>
        <v>0</v>
      </c>
      <c r="I619" s="230">
        <f t="shared" si="474"/>
        <v>0</v>
      </c>
      <c r="J619" s="230">
        <f t="shared" si="474"/>
        <v>0</v>
      </c>
      <c r="K619" s="230">
        <f t="shared" si="474"/>
        <v>0</v>
      </c>
      <c r="L619" s="230">
        <f t="shared" si="474"/>
        <v>0</v>
      </c>
      <c r="M619" s="230">
        <f t="shared" si="474"/>
        <v>0</v>
      </c>
      <c r="N619" s="230">
        <f t="shared" si="474"/>
        <v>0</v>
      </c>
      <c r="O619" s="230">
        <f t="shared" si="474"/>
        <v>0</v>
      </c>
      <c r="P619" s="230">
        <f t="shared" si="474"/>
        <v>0</v>
      </c>
    </row>
    <row r="620" spans="2:16" hidden="1" outlineLevel="2">
      <c r="B620">
        <f t="shared" si="472"/>
        <v>122</v>
      </c>
      <c r="C620" s="73" t="str">
        <v>SpareOfferD17</v>
      </c>
      <c r="D620" t="s">
        <v>174</v>
      </c>
      <c r="F620" s="87">
        <v>0</v>
      </c>
      <c r="H620" s="230">
        <f t="shared" si="474"/>
        <v>0</v>
      </c>
      <c r="I620" s="230">
        <f t="shared" si="474"/>
        <v>0</v>
      </c>
      <c r="J620" s="230">
        <f t="shared" si="474"/>
        <v>0</v>
      </c>
      <c r="K620" s="230">
        <f t="shared" si="474"/>
        <v>0</v>
      </c>
      <c r="L620" s="230">
        <f t="shared" si="474"/>
        <v>0</v>
      </c>
      <c r="M620" s="230">
        <f t="shared" si="474"/>
        <v>0</v>
      </c>
      <c r="N620" s="230">
        <f t="shared" si="474"/>
        <v>0</v>
      </c>
      <c r="O620" s="230">
        <f t="shared" si="474"/>
        <v>0</v>
      </c>
      <c r="P620" s="230">
        <f t="shared" si="474"/>
        <v>0</v>
      </c>
    </row>
    <row r="621" spans="2:16" hidden="1" outlineLevel="2">
      <c r="B621">
        <f t="shared" si="472"/>
        <v>123</v>
      </c>
      <c r="C621" s="73" t="str">
        <v>SpareOfferD18</v>
      </c>
      <c r="D621" t="s">
        <v>174</v>
      </c>
      <c r="F621" s="87">
        <v>0</v>
      </c>
      <c r="H621" s="230">
        <f t="shared" si="474"/>
        <v>0</v>
      </c>
      <c r="I621" s="230">
        <f t="shared" si="474"/>
        <v>0</v>
      </c>
      <c r="J621" s="230">
        <f t="shared" si="474"/>
        <v>0</v>
      </c>
      <c r="K621" s="230">
        <f t="shared" si="474"/>
        <v>0</v>
      </c>
      <c r="L621" s="230">
        <f t="shared" si="474"/>
        <v>0</v>
      </c>
      <c r="M621" s="230">
        <f t="shared" si="474"/>
        <v>0</v>
      </c>
      <c r="N621" s="230">
        <f t="shared" si="474"/>
        <v>0</v>
      </c>
      <c r="O621" s="230">
        <f t="shared" si="474"/>
        <v>0</v>
      </c>
      <c r="P621" s="230">
        <f t="shared" si="474"/>
        <v>0</v>
      </c>
    </row>
    <row r="622" spans="2:16" hidden="1" outlineLevel="2">
      <c r="B622">
        <f t="shared" si="472"/>
        <v>124</v>
      </c>
      <c r="C622" s="73" t="str">
        <v>SpareOfferD19</v>
      </c>
      <c r="D622" t="s">
        <v>174</v>
      </c>
      <c r="F622" s="87">
        <v>0</v>
      </c>
      <c r="H622" s="230">
        <f t="shared" si="474"/>
        <v>0</v>
      </c>
      <c r="I622" s="230">
        <f t="shared" si="474"/>
        <v>0</v>
      </c>
      <c r="J622" s="230">
        <f t="shared" si="474"/>
        <v>0</v>
      </c>
      <c r="K622" s="230">
        <f t="shared" si="474"/>
        <v>0</v>
      </c>
      <c r="L622" s="230">
        <f t="shared" si="474"/>
        <v>0</v>
      </c>
      <c r="M622" s="230">
        <f t="shared" si="474"/>
        <v>0</v>
      </c>
      <c r="N622" s="230">
        <f t="shared" si="474"/>
        <v>0</v>
      </c>
      <c r="O622" s="230">
        <f t="shared" si="474"/>
        <v>0</v>
      </c>
      <c r="P622" s="230">
        <f t="shared" si="474"/>
        <v>0</v>
      </c>
    </row>
    <row r="623" spans="2:16" hidden="1" outlineLevel="2">
      <c r="B623">
        <f t="shared" si="472"/>
        <v>125</v>
      </c>
      <c r="C623" s="73" t="str">
        <v>SpareOfferD20</v>
      </c>
      <c r="D623" t="s">
        <v>174</v>
      </c>
      <c r="F623" s="87">
        <v>0</v>
      </c>
      <c r="H623" s="230">
        <f t="shared" si="474"/>
        <v>0</v>
      </c>
      <c r="I623" s="230">
        <f t="shared" si="474"/>
        <v>0</v>
      </c>
      <c r="J623" s="230">
        <f t="shared" si="474"/>
        <v>0</v>
      </c>
      <c r="K623" s="230">
        <f t="shared" si="474"/>
        <v>0</v>
      </c>
      <c r="L623" s="230">
        <f t="shared" si="474"/>
        <v>0</v>
      </c>
      <c r="M623" s="230">
        <f t="shared" si="474"/>
        <v>0</v>
      </c>
      <c r="N623" s="230">
        <f t="shared" si="474"/>
        <v>0</v>
      </c>
      <c r="O623" s="230">
        <f t="shared" si="474"/>
        <v>0</v>
      </c>
      <c r="P623" s="230">
        <f t="shared" si="474"/>
        <v>0</v>
      </c>
    </row>
    <row r="624" spans="2:16" hidden="1" outlineLevel="2">
      <c r="B624">
        <f t="shared" si="472"/>
        <v>126</v>
      </c>
      <c r="C624" s="73" t="str">
        <v>SpareOfferD21</v>
      </c>
      <c r="D624" t="s">
        <v>174</v>
      </c>
      <c r="F624" s="87">
        <v>0</v>
      </c>
      <c r="H624" s="230">
        <f t="shared" ref="H624:P638" si="475">INDEX(per.sub.volumes.by.demand.descriptions,$B624,H$601)</f>
        <v>0</v>
      </c>
      <c r="I624" s="230">
        <f t="shared" si="475"/>
        <v>0</v>
      </c>
      <c r="J624" s="230">
        <f t="shared" si="475"/>
        <v>0</v>
      </c>
      <c r="K624" s="230">
        <f t="shared" si="475"/>
        <v>0</v>
      </c>
      <c r="L624" s="230">
        <f t="shared" si="475"/>
        <v>0</v>
      </c>
      <c r="M624" s="230">
        <f t="shared" si="475"/>
        <v>0</v>
      </c>
      <c r="N624" s="230">
        <f t="shared" si="475"/>
        <v>0</v>
      </c>
      <c r="O624" s="230">
        <f t="shared" si="475"/>
        <v>0</v>
      </c>
      <c r="P624" s="230">
        <f t="shared" si="475"/>
        <v>0</v>
      </c>
    </row>
    <row r="625" spans="2:16" hidden="1" outlineLevel="2">
      <c r="B625">
        <f t="shared" si="472"/>
        <v>127</v>
      </c>
      <c r="C625" s="73" t="str">
        <v>SpareOfferD22</v>
      </c>
      <c r="D625" t="s">
        <v>174</v>
      </c>
      <c r="F625" s="87">
        <v>0</v>
      </c>
      <c r="H625" s="230">
        <f t="shared" si="475"/>
        <v>0</v>
      </c>
      <c r="I625" s="230">
        <f t="shared" si="475"/>
        <v>0</v>
      </c>
      <c r="J625" s="230">
        <f t="shared" si="475"/>
        <v>0</v>
      </c>
      <c r="K625" s="230">
        <f t="shared" si="475"/>
        <v>0</v>
      </c>
      <c r="L625" s="230">
        <f t="shared" si="475"/>
        <v>0</v>
      </c>
      <c r="M625" s="230">
        <f t="shared" si="475"/>
        <v>0</v>
      </c>
      <c r="N625" s="230">
        <f t="shared" si="475"/>
        <v>0</v>
      </c>
      <c r="O625" s="230">
        <f t="shared" si="475"/>
        <v>0</v>
      </c>
      <c r="P625" s="230">
        <f t="shared" si="475"/>
        <v>0</v>
      </c>
    </row>
    <row r="626" spans="2:16" hidden="1" outlineLevel="2">
      <c r="B626">
        <f t="shared" si="472"/>
        <v>128</v>
      </c>
      <c r="C626" s="73" t="str">
        <v>SpareOfferD23</v>
      </c>
      <c r="D626" t="s">
        <v>174</v>
      </c>
      <c r="F626" s="87">
        <v>0</v>
      </c>
      <c r="H626" s="230">
        <f t="shared" si="475"/>
        <v>0</v>
      </c>
      <c r="I626" s="230">
        <f t="shared" si="475"/>
        <v>0</v>
      </c>
      <c r="J626" s="230">
        <f t="shared" si="475"/>
        <v>0</v>
      </c>
      <c r="K626" s="230">
        <f t="shared" si="475"/>
        <v>0</v>
      </c>
      <c r="L626" s="230">
        <f t="shared" si="475"/>
        <v>0</v>
      </c>
      <c r="M626" s="230">
        <f t="shared" si="475"/>
        <v>0</v>
      </c>
      <c r="N626" s="230">
        <f t="shared" si="475"/>
        <v>0</v>
      </c>
      <c r="O626" s="230">
        <f t="shared" si="475"/>
        <v>0</v>
      </c>
      <c r="P626" s="230">
        <f t="shared" si="475"/>
        <v>0</v>
      </c>
    </row>
    <row r="627" spans="2:16" hidden="1" outlineLevel="2">
      <c r="B627">
        <f t="shared" si="472"/>
        <v>129</v>
      </c>
      <c r="C627" s="73" t="str">
        <v>SpareOfferD24</v>
      </c>
      <c r="D627" t="s">
        <v>174</v>
      </c>
      <c r="F627" s="87">
        <v>0</v>
      </c>
      <c r="H627" s="230">
        <f t="shared" si="475"/>
        <v>0</v>
      </c>
      <c r="I627" s="230">
        <f t="shared" si="475"/>
        <v>0</v>
      </c>
      <c r="J627" s="230">
        <f t="shared" si="475"/>
        <v>0</v>
      </c>
      <c r="K627" s="230">
        <f t="shared" si="475"/>
        <v>0</v>
      </c>
      <c r="L627" s="230">
        <f t="shared" si="475"/>
        <v>0</v>
      </c>
      <c r="M627" s="230">
        <f t="shared" si="475"/>
        <v>0</v>
      </c>
      <c r="N627" s="230">
        <f t="shared" si="475"/>
        <v>0</v>
      </c>
      <c r="O627" s="230">
        <f t="shared" si="475"/>
        <v>0</v>
      </c>
      <c r="P627" s="230">
        <f t="shared" si="475"/>
        <v>0</v>
      </c>
    </row>
    <row r="628" spans="2:16" hidden="1" outlineLevel="2">
      <c r="B628">
        <f t="shared" si="472"/>
        <v>130</v>
      </c>
      <c r="C628" s="73" t="str">
        <v>SpareOfferD25</v>
      </c>
      <c r="D628" t="s">
        <v>174</v>
      </c>
      <c r="F628" s="87">
        <v>0</v>
      </c>
      <c r="H628" s="230">
        <f t="shared" si="475"/>
        <v>0</v>
      </c>
      <c r="I628" s="230">
        <f t="shared" si="475"/>
        <v>0</v>
      </c>
      <c r="J628" s="230">
        <f t="shared" si="475"/>
        <v>0</v>
      </c>
      <c r="K628" s="230">
        <f t="shared" si="475"/>
        <v>0</v>
      </c>
      <c r="L628" s="230">
        <f t="shared" si="475"/>
        <v>0</v>
      </c>
      <c r="M628" s="230">
        <f t="shared" si="475"/>
        <v>0</v>
      </c>
      <c r="N628" s="230">
        <f t="shared" si="475"/>
        <v>0</v>
      </c>
      <c r="O628" s="230">
        <f t="shared" si="475"/>
        <v>0</v>
      </c>
      <c r="P628" s="230">
        <f t="shared" si="475"/>
        <v>0</v>
      </c>
    </row>
    <row r="629" spans="2:16" hidden="1" outlineLevel="2">
      <c r="B629">
        <f t="shared" si="472"/>
        <v>131</v>
      </c>
      <c r="C629" s="73" t="str">
        <v>SpareOfferD26</v>
      </c>
      <c r="D629" t="s">
        <v>174</v>
      </c>
      <c r="F629" s="87">
        <v>0</v>
      </c>
      <c r="H629" s="230">
        <f t="shared" si="475"/>
        <v>0</v>
      </c>
      <c r="I629" s="230">
        <f t="shared" si="475"/>
        <v>0</v>
      </c>
      <c r="J629" s="230">
        <f t="shared" si="475"/>
        <v>0</v>
      </c>
      <c r="K629" s="230">
        <f t="shared" si="475"/>
        <v>0</v>
      </c>
      <c r="L629" s="230">
        <f t="shared" si="475"/>
        <v>0</v>
      </c>
      <c r="M629" s="230">
        <f t="shared" si="475"/>
        <v>0</v>
      </c>
      <c r="N629" s="230">
        <f t="shared" si="475"/>
        <v>0</v>
      </c>
      <c r="O629" s="230">
        <f t="shared" si="475"/>
        <v>0</v>
      </c>
      <c r="P629" s="230">
        <f t="shared" si="475"/>
        <v>0</v>
      </c>
    </row>
    <row r="630" spans="2:16" hidden="1" outlineLevel="2">
      <c r="B630">
        <f t="shared" si="472"/>
        <v>132</v>
      </c>
      <c r="C630" s="73" t="str">
        <v>SpareOfferD27</v>
      </c>
      <c r="D630" t="s">
        <v>174</v>
      </c>
      <c r="F630" s="87">
        <v>0</v>
      </c>
      <c r="H630" s="230">
        <f t="shared" si="475"/>
        <v>0</v>
      </c>
      <c r="I630" s="230">
        <f t="shared" si="475"/>
        <v>0</v>
      </c>
      <c r="J630" s="230">
        <f t="shared" si="475"/>
        <v>0</v>
      </c>
      <c r="K630" s="230">
        <f t="shared" si="475"/>
        <v>0</v>
      </c>
      <c r="L630" s="230">
        <f t="shared" si="475"/>
        <v>0</v>
      </c>
      <c r="M630" s="230">
        <f t="shared" si="475"/>
        <v>0</v>
      </c>
      <c r="N630" s="230">
        <f t="shared" si="475"/>
        <v>0</v>
      </c>
      <c r="O630" s="230">
        <f t="shared" si="475"/>
        <v>0</v>
      </c>
      <c r="P630" s="230">
        <f t="shared" si="475"/>
        <v>0</v>
      </c>
    </row>
    <row r="631" spans="2:16" hidden="1" outlineLevel="2">
      <c r="B631">
        <f t="shared" si="472"/>
        <v>133</v>
      </c>
      <c r="C631" s="73" t="str">
        <v>SpareOfferD28</v>
      </c>
      <c r="D631" t="s">
        <v>174</v>
      </c>
      <c r="F631" s="87">
        <v>0</v>
      </c>
      <c r="H631" s="230">
        <f t="shared" si="475"/>
        <v>0</v>
      </c>
      <c r="I631" s="230">
        <f t="shared" si="475"/>
        <v>0</v>
      </c>
      <c r="J631" s="230">
        <f t="shared" si="475"/>
        <v>0</v>
      </c>
      <c r="K631" s="230">
        <f t="shared" si="475"/>
        <v>0</v>
      </c>
      <c r="L631" s="230">
        <f t="shared" si="475"/>
        <v>0</v>
      </c>
      <c r="M631" s="230">
        <f t="shared" si="475"/>
        <v>0</v>
      </c>
      <c r="N631" s="230">
        <f t="shared" si="475"/>
        <v>0</v>
      </c>
      <c r="O631" s="230">
        <f t="shared" si="475"/>
        <v>0</v>
      </c>
      <c r="P631" s="230">
        <f t="shared" si="475"/>
        <v>0</v>
      </c>
    </row>
    <row r="632" spans="2:16" hidden="1" outlineLevel="2">
      <c r="B632">
        <f t="shared" si="472"/>
        <v>134</v>
      </c>
      <c r="C632" s="73" t="str">
        <v>SpareOfferD29</v>
      </c>
      <c r="D632" t="s">
        <v>174</v>
      </c>
      <c r="F632" s="87">
        <v>0</v>
      </c>
      <c r="H632" s="230">
        <f t="shared" si="475"/>
        <v>0</v>
      </c>
      <c r="I632" s="230">
        <f t="shared" si="475"/>
        <v>0</v>
      </c>
      <c r="J632" s="230">
        <f t="shared" si="475"/>
        <v>0</v>
      </c>
      <c r="K632" s="230">
        <f t="shared" si="475"/>
        <v>0</v>
      </c>
      <c r="L632" s="230">
        <f t="shared" si="475"/>
        <v>0</v>
      </c>
      <c r="M632" s="230">
        <f t="shared" si="475"/>
        <v>0</v>
      </c>
      <c r="N632" s="230">
        <f t="shared" si="475"/>
        <v>0</v>
      </c>
      <c r="O632" s="230">
        <f t="shared" si="475"/>
        <v>0</v>
      </c>
      <c r="P632" s="230">
        <f t="shared" si="475"/>
        <v>0</v>
      </c>
    </row>
    <row r="633" spans="2:16" hidden="1" outlineLevel="2">
      <c r="B633">
        <f t="shared" si="472"/>
        <v>135</v>
      </c>
      <c r="C633" s="73" t="str">
        <v>SpareOfferD30</v>
      </c>
      <c r="D633" t="s">
        <v>174</v>
      </c>
      <c r="F633" s="87">
        <v>0</v>
      </c>
      <c r="H633" s="230">
        <f t="shared" si="475"/>
        <v>0</v>
      </c>
      <c r="I633" s="230">
        <f t="shared" si="475"/>
        <v>0</v>
      </c>
      <c r="J633" s="230">
        <f t="shared" si="475"/>
        <v>0</v>
      </c>
      <c r="K633" s="230">
        <f t="shared" si="475"/>
        <v>0</v>
      </c>
      <c r="L633" s="230">
        <f t="shared" si="475"/>
        <v>0</v>
      </c>
      <c r="M633" s="230">
        <f t="shared" si="475"/>
        <v>0</v>
      </c>
      <c r="N633" s="230">
        <f t="shared" si="475"/>
        <v>0</v>
      </c>
      <c r="O633" s="230">
        <f t="shared" si="475"/>
        <v>0</v>
      </c>
      <c r="P633" s="230">
        <f t="shared" si="475"/>
        <v>0</v>
      </c>
    </row>
    <row r="634" spans="2:16" hidden="1" outlineLevel="2">
      <c r="B634">
        <f t="shared" si="472"/>
        <v>136</v>
      </c>
      <c r="C634" s="73" t="str">
        <v>SpareOfferD31</v>
      </c>
      <c r="D634" t="s">
        <v>174</v>
      </c>
      <c r="F634" s="87">
        <v>0</v>
      </c>
      <c r="H634" s="230">
        <f t="shared" si="475"/>
        <v>0</v>
      </c>
      <c r="I634" s="230">
        <f t="shared" si="475"/>
        <v>0</v>
      </c>
      <c r="J634" s="230">
        <f t="shared" si="475"/>
        <v>0</v>
      </c>
      <c r="K634" s="230">
        <f t="shared" si="475"/>
        <v>0</v>
      </c>
      <c r="L634" s="230">
        <f t="shared" si="475"/>
        <v>0</v>
      </c>
      <c r="M634" s="230">
        <f t="shared" si="475"/>
        <v>0</v>
      </c>
      <c r="N634" s="230">
        <f t="shared" si="475"/>
        <v>0</v>
      </c>
      <c r="O634" s="230">
        <f t="shared" si="475"/>
        <v>0</v>
      </c>
      <c r="P634" s="230">
        <f t="shared" si="475"/>
        <v>0</v>
      </c>
    </row>
    <row r="635" spans="2:16" hidden="1" outlineLevel="2">
      <c r="B635">
        <f t="shared" si="472"/>
        <v>137</v>
      </c>
      <c r="C635" s="73" t="str">
        <v>SpareOfferD32</v>
      </c>
      <c r="D635" t="s">
        <v>174</v>
      </c>
      <c r="F635" s="87">
        <v>0</v>
      </c>
      <c r="H635" s="230">
        <f t="shared" si="475"/>
        <v>0</v>
      </c>
      <c r="I635" s="230">
        <f t="shared" si="475"/>
        <v>0</v>
      </c>
      <c r="J635" s="230">
        <f t="shared" si="475"/>
        <v>0</v>
      </c>
      <c r="K635" s="230">
        <f t="shared" si="475"/>
        <v>0</v>
      </c>
      <c r="L635" s="230">
        <f t="shared" si="475"/>
        <v>0</v>
      </c>
      <c r="M635" s="230">
        <f t="shared" si="475"/>
        <v>0</v>
      </c>
      <c r="N635" s="230">
        <f t="shared" si="475"/>
        <v>0</v>
      </c>
      <c r="O635" s="230">
        <f t="shared" si="475"/>
        <v>0</v>
      </c>
      <c r="P635" s="230">
        <f t="shared" si="475"/>
        <v>0</v>
      </c>
    </row>
    <row r="636" spans="2:16" hidden="1" outlineLevel="2">
      <c r="B636">
        <f t="shared" si="472"/>
        <v>138</v>
      </c>
      <c r="C636" s="73" t="str">
        <v>SpareOfferD33</v>
      </c>
      <c r="D636" t="s">
        <v>174</v>
      </c>
      <c r="F636" s="87">
        <v>0</v>
      </c>
      <c r="H636" s="230">
        <f t="shared" si="475"/>
        <v>0</v>
      </c>
      <c r="I636" s="230">
        <f t="shared" si="475"/>
        <v>0</v>
      </c>
      <c r="J636" s="230">
        <f t="shared" si="475"/>
        <v>0</v>
      </c>
      <c r="K636" s="230">
        <f t="shared" si="475"/>
        <v>0</v>
      </c>
      <c r="L636" s="230">
        <f t="shared" si="475"/>
        <v>0</v>
      </c>
      <c r="M636" s="230">
        <f t="shared" si="475"/>
        <v>0</v>
      </c>
      <c r="N636" s="230">
        <f t="shared" si="475"/>
        <v>0</v>
      </c>
      <c r="O636" s="230">
        <f t="shared" si="475"/>
        <v>0</v>
      </c>
      <c r="P636" s="230">
        <f t="shared" si="475"/>
        <v>0</v>
      </c>
    </row>
    <row r="637" spans="2:16" hidden="1" outlineLevel="2">
      <c r="B637">
        <f t="shared" si="472"/>
        <v>139</v>
      </c>
      <c r="C637" s="73" t="str">
        <v>SpareOfferD34</v>
      </c>
      <c r="D637" t="s">
        <v>174</v>
      </c>
      <c r="F637" s="87">
        <v>0</v>
      </c>
      <c r="H637" s="230">
        <f t="shared" si="475"/>
        <v>0</v>
      </c>
      <c r="I637" s="230">
        <f t="shared" si="475"/>
        <v>0</v>
      </c>
      <c r="J637" s="230">
        <f t="shared" si="475"/>
        <v>0</v>
      </c>
      <c r="K637" s="230">
        <f t="shared" si="475"/>
        <v>0</v>
      </c>
      <c r="L637" s="230">
        <f t="shared" si="475"/>
        <v>0</v>
      </c>
      <c r="M637" s="230">
        <f t="shared" si="475"/>
        <v>0</v>
      </c>
      <c r="N637" s="230">
        <f t="shared" si="475"/>
        <v>0</v>
      </c>
      <c r="O637" s="230">
        <f t="shared" si="475"/>
        <v>0</v>
      </c>
      <c r="P637" s="230">
        <f t="shared" si="475"/>
        <v>0</v>
      </c>
    </row>
    <row r="638" spans="2:16" outlineLevel="1" collapsed="1">
      <c r="B638">
        <f t="shared" si="472"/>
        <v>140</v>
      </c>
      <c r="C638" s="73" t="str">
        <v>-</v>
      </c>
      <c r="D638" t="s">
        <v>174</v>
      </c>
      <c r="F638" s="87">
        <v>0</v>
      </c>
      <c r="H638" s="230">
        <f t="shared" si="475"/>
        <v>0</v>
      </c>
      <c r="I638" s="230">
        <f t="shared" si="475"/>
        <v>0</v>
      </c>
      <c r="J638" s="230">
        <f t="shared" si="475"/>
        <v>0</v>
      </c>
      <c r="K638" s="230">
        <f t="shared" si="475"/>
        <v>0</v>
      </c>
      <c r="L638" s="230">
        <f t="shared" si="475"/>
        <v>0</v>
      </c>
      <c r="M638" s="230">
        <f t="shared" si="475"/>
        <v>0</v>
      </c>
      <c r="N638" s="230">
        <f t="shared" si="475"/>
        <v>0</v>
      </c>
      <c r="O638" s="230">
        <f t="shared" si="475"/>
        <v>0</v>
      </c>
      <c r="P638" s="230">
        <f t="shared" si="475"/>
        <v>0</v>
      </c>
    </row>
    <row r="639" spans="2:16" outlineLevel="1"/>
    <row r="640" spans="2:16" ht="34.5" outlineLevel="1">
      <c r="B640" s="91" t="s">
        <v>219</v>
      </c>
      <c r="F640" s="127" t="s">
        <v>190</v>
      </c>
      <c r="H640" s="1" t="str">
        <f t="array" ref="H640:P640">options.selected.roaming.detailed</f>
        <v>Roaming voice (EEA)</v>
      </c>
      <c r="I640" s="1" t="str">
        <v>Roaming voice (non-EEA)</v>
      </c>
      <c r="J640" s="1" t="str">
        <v>Roaming CF (EEA)</v>
      </c>
      <c r="K640" s="1" t="str">
        <v>Roaming CF (non-EEA)</v>
      </c>
      <c r="L640" s="1" t="str">
        <v>Roaming messages (EEA)</v>
      </c>
      <c r="M640" s="1" t="str">
        <v>Roaming messages (non-EEA)</v>
      </c>
      <c r="N640" s="1" t="str">
        <v>Roaming data (EEA)</v>
      </c>
      <c r="O640" s="1" t="str">
        <v>Roaming data (non-EEA)</v>
      </c>
      <c r="P640" s="1" t="str">
        <v>Spare 1</v>
      </c>
    </row>
    <row r="641" spans="3:16" outlineLevel="1">
      <c r="C641" s="93" t="s">
        <v>342</v>
      </c>
      <c r="D641" t="s">
        <v>301</v>
      </c>
      <c r="F641" s="233">
        <f>SUM(H641:P641)</f>
        <v>0</v>
      </c>
      <c r="H641" s="232">
        <f t="shared" ref="H641" si="476">H603*H$599</f>
        <v>0</v>
      </c>
      <c r="I641" s="232">
        <f t="shared" ref="I641:P641" si="477">I603*I$599</f>
        <v>0</v>
      </c>
      <c r="J641" s="232">
        <f t="shared" si="477"/>
        <v>0</v>
      </c>
      <c r="K641" s="232">
        <f t="shared" si="477"/>
        <v>0</v>
      </c>
      <c r="L641" s="232">
        <f t="shared" si="477"/>
        <v>0</v>
      </c>
      <c r="M641" s="232">
        <f t="shared" si="477"/>
        <v>0</v>
      </c>
      <c r="N641" s="232">
        <f t="shared" si="477"/>
        <v>0</v>
      </c>
      <c r="O641" s="232">
        <f t="shared" si="477"/>
        <v>0</v>
      </c>
      <c r="P641" s="232">
        <f t="shared" si="477"/>
        <v>0</v>
      </c>
    </row>
    <row r="642" spans="3:16" outlineLevel="1">
      <c r="C642" s="73" t="str">
        <f t="array" ref="C642:C676">offers.segment.4</f>
        <v>SpareOfferD1</v>
      </c>
      <c r="D642" t="s">
        <v>301</v>
      </c>
      <c r="F642" s="234">
        <f t="shared" ref="F642:F675" si="478">SUM(H642:P642)</f>
        <v>0</v>
      </c>
      <c r="H642" s="232">
        <f>H604*H$599</f>
        <v>0</v>
      </c>
      <c r="I642" s="232">
        <f t="shared" ref="I642:P642" si="479">I604*I$599</f>
        <v>0</v>
      </c>
      <c r="J642" s="232">
        <f t="shared" si="479"/>
        <v>0</v>
      </c>
      <c r="K642" s="232">
        <f t="shared" si="479"/>
        <v>0</v>
      </c>
      <c r="L642" s="232">
        <f t="shared" si="479"/>
        <v>0</v>
      </c>
      <c r="M642" s="232">
        <f t="shared" si="479"/>
        <v>0</v>
      </c>
      <c r="N642" s="232">
        <f t="shared" si="479"/>
        <v>0</v>
      </c>
      <c r="O642" s="232">
        <f t="shared" si="479"/>
        <v>0</v>
      </c>
      <c r="P642" s="232">
        <f t="shared" si="479"/>
        <v>0</v>
      </c>
    </row>
    <row r="643" spans="3:16" hidden="1" outlineLevel="2">
      <c r="C643" s="73" t="str">
        <v>SpareOfferD2</v>
      </c>
      <c r="D643" t="s">
        <v>301</v>
      </c>
      <c r="F643" s="234">
        <f t="shared" si="478"/>
        <v>0</v>
      </c>
      <c r="H643" s="232">
        <f t="shared" ref="H643" si="480">H605*H$599</f>
        <v>0</v>
      </c>
      <c r="I643" s="232">
        <f t="shared" ref="I643:P643" si="481">I605*I$599</f>
        <v>0</v>
      </c>
      <c r="J643" s="232">
        <f t="shared" si="481"/>
        <v>0</v>
      </c>
      <c r="K643" s="232">
        <f t="shared" si="481"/>
        <v>0</v>
      </c>
      <c r="L643" s="232">
        <f t="shared" si="481"/>
        <v>0</v>
      </c>
      <c r="M643" s="232">
        <f t="shared" si="481"/>
        <v>0</v>
      </c>
      <c r="N643" s="232">
        <f t="shared" si="481"/>
        <v>0</v>
      </c>
      <c r="O643" s="232">
        <f t="shared" si="481"/>
        <v>0</v>
      </c>
      <c r="P643" s="232">
        <f t="shared" si="481"/>
        <v>0</v>
      </c>
    </row>
    <row r="644" spans="3:16" hidden="1" outlineLevel="2">
      <c r="C644" s="73" t="str">
        <v>SpareOfferD3</v>
      </c>
      <c r="D644" t="s">
        <v>301</v>
      </c>
      <c r="F644" s="234">
        <f t="shared" si="478"/>
        <v>0</v>
      </c>
      <c r="H644" s="232">
        <f t="shared" ref="H644" si="482">H606*H$599</f>
        <v>0</v>
      </c>
      <c r="I644" s="232">
        <f t="shared" ref="I644:P644" si="483">I606*I$599</f>
        <v>0</v>
      </c>
      <c r="J644" s="232">
        <f t="shared" si="483"/>
        <v>0</v>
      </c>
      <c r="K644" s="232">
        <f t="shared" si="483"/>
        <v>0</v>
      </c>
      <c r="L644" s="232">
        <f t="shared" si="483"/>
        <v>0</v>
      </c>
      <c r="M644" s="232">
        <f t="shared" si="483"/>
        <v>0</v>
      </c>
      <c r="N644" s="232">
        <f t="shared" si="483"/>
        <v>0</v>
      </c>
      <c r="O644" s="232">
        <f t="shared" si="483"/>
        <v>0</v>
      </c>
      <c r="P644" s="232">
        <f t="shared" si="483"/>
        <v>0</v>
      </c>
    </row>
    <row r="645" spans="3:16" hidden="1" outlineLevel="2">
      <c r="C645" s="73" t="str">
        <v>SpareOfferD4</v>
      </c>
      <c r="D645" t="s">
        <v>301</v>
      </c>
      <c r="F645" s="234">
        <f t="shared" si="478"/>
        <v>0</v>
      </c>
      <c r="H645" s="232">
        <f t="shared" ref="H645" si="484">H607*H$599</f>
        <v>0</v>
      </c>
      <c r="I645" s="232">
        <f t="shared" ref="I645:P645" si="485">I607*I$599</f>
        <v>0</v>
      </c>
      <c r="J645" s="232">
        <f t="shared" si="485"/>
        <v>0</v>
      </c>
      <c r="K645" s="232">
        <f t="shared" si="485"/>
        <v>0</v>
      </c>
      <c r="L645" s="232">
        <f t="shared" si="485"/>
        <v>0</v>
      </c>
      <c r="M645" s="232">
        <f t="shared" si="485"/>
        <v>0</v>
      </c>
      <c r="N645" s="232">
        <f t="shared" si="485"/>
        <v>0</v>
      </c>
      <c r="O645" s="232">
        <f t="shared" si="485"/>
        <v>0</v>
      </c>
      <c r="P645" s="232">
        <f t="shared" si="485"/>
        <v>0</v>
      </c>
    </row>
    <row r="646" spans="3:16" hidden="1" outlineLevel="2">
      <c r="C646" s="73" t="str">
        <v>SpareOfferD5</v>
      </c>
      <c r="D646" t="s">
        <v>301</v>
      </c>
      <c r="F646" s="234">
        <f t="shared" si="478"/>
        <v>0</v>
      </c>
      <c r="H646" s="232">
        <f t="shared" ref="H646" si="486">H608*H$599</f>
        <v>0</v>
      </c>
      <c r="I646" s="232">
        <f t="shared" ref="I646:P646" si="487">I608*I$599</f>
        <v>0</v>
      </c>
      <c r="J646" s="232">
        <f t="shared" si="487"/>
        <v>0</v>
      </c>
      <c r="K646" s="232">
        <f t="shared" si="487"/>
        <v>0</v>
      </c>
      <c r="L646" s="232">
        <f t="shared" si="487"/>
        <v>0</v>
      </c>
      <c r="M646" s="232">
        <f t="shared" si="487"/>
        <v>0</v>
      </c>
      <c r="N646" s="232">
        <f t="shared" si="487"/>
        <v>0</v>
      </c>
      <c r="O646" s="232">
        <f t="shared" si="487"/>
        <v>0</v>
      </c>
      <c r="P646" s="232">
        <f t="shared" si="487"/>
        <v>0</v>
      </c>
    </row>
    <row r="647" spans="3:16" hidden="1" outlineLevel="2">
      <c r="C647" s="73" t="str">
        <v>SpareOfferD6</v>
      </c>
      <c r="D647" t="s">
        <v>301</v>
      </c>
      <c r="F647" s="234">
        <f t="shared" si="478"/>
        <v>0</v>
      </c>
      <c r="H647" s="232">
        <f t="shared" ref="H647" si="488">H609*H$599</f>
        <v>0</v>
      </c>
      <c r="I647" s="232">
        <f t="shared" ref="I647:P647" si="489">I609*I$599</f>
        <v>0</v>
      </c>
      <c r="J647" s="232">
        <f t="shared" si="489"/>
        <v>0</v>
      </c>
      <c r="K647" s="232">
        <f t="shared" si="489"/>
        <v>0</v>
      </c>
      <c r="L647" s="232">
        <f t="shared" si="489"/>
        <v>0</v>
      </c>
      <c r="M647" s="232">
        <f t="shared" si="489"/>
        <v>0</v>
      </c>
      <c r="N647" s="232">
        <f t="shared" si="489"/>
        <v>0</v>
      </c>
      <c r="O647" s="232">
        <f t="shared" si="489"/>
        <v>0</v>
      </c>
      <c r="P647" s="232">
        <f t="shared" si="489"/>
        <v>0</v>
      </c>
    </row>
    <row r="648" spans="3:16" hidden="1" outlineLevel="2">
      <c r="C648" s="73" t="str">
        <v>SpareOfferD7</v>
      </c>
      <c r="D648" t="s">
        <v>301</v>
      </c>
      <c r="F648" s="234">
        <f t="shared" si="478"/>
        <v>0</v>
      </c>
      <c r="H648" s="232">
        <f t="shared" ref="H648" si="490">H610*H$599</f>
        <v>0</v>
      </c>
      <c r="I648" s="232">
        <f t="shared" ref="I648:P648" si="491">I610*I$599</f>
        <v>0</v>
      </c>
      <c r="J648" s="232">
        <f t="shared" si="491"/>
        <v>0</v>
      </c>
      <c r="K648" s="232">
        <f t="shared" si="491"/>
        <v>0</v>
      </c>
      <c r="L648" s="232">
        <f t="shared" si="491"/>
        <v>0</v>
      </c>
      <c r="M648" s="232">
        <f t="shared" si="491"/>
        <v>0</v>
      </c>
      <c r="N648" s="232">
        <f t="shared" si="491"/>
        <v>0</v>
      </c>
      <c r="O648" s="232">
        <f t="shared" si="491"/>
        <v>0</v>
      </c>
      <c r="P648" s="232">
        <f t="shared" si="491"/>
        <v>0</v>
      </c>
    </row>
    <row r="649" spans="3:16" hidden="1" outlineLevel="2">
      <c r="C649" s="73" t="str">
        <v>SpareOfferD8</v>
      </c>
      <c r="D649" t="s">
        <v>301</v>
      </c>
      <c r="F649" s="234">
        <f t="shared" si="478"/>
        <v>0</v>
      </c>
      <c r="H649" s="232">
        <f t="shared" ref="H649" si="492">H611*H$599</f>
        <v>0</v>
      </c>
      <c r="I649" s="232">
        <f t="shared" ref="I649:P649" si="493">I611*I$599</f>
        <v>0</v>
      </c>
      <c r="J649" s="232">
        <f t="shared" si="493"/>
        <v>0</v>
      </c>
      <c r="K649" s="232">
        <f t="shared" si="493"/>
        <v>0</v>
      </c>
      <c r="L649" s="232">
        <f t="shared" si="493"/>
        <v>0</v>
      </c>
      <c r="M649" s="232">
        <f t="shared" si="493"/>
        <v>0</v>
      </c>
      <c r="N649" s="232">
        <f t="shared" si="493"/>
        <v>0</v>
      </c>
      <c r="O649" s="232">
        <f t="shared" si="493"/>
        <v>0</v>
      </c>
      <c r="P649" s="232">
        <f t="shared" si="493"/>
        <v>0</v>
      </c>
    </row>
    <row r="650" spans="3:16" hidden="1" outlineLevel="2">
      <c r="C650" s="73" t="str">
        <v>SpareOfferD9</v>
      </c>
      <c r="D650" t="s">
        <v>301</v>
      </c>
      <c r="F650" s="234">
        <f t="shared" si="478"/>
        <v>0</v>
      </c>
      <c r="H650" s="232">
        <f t="shared" ref="H650" si="494">H612*H$599</f>
        <v>0</v>
      </c>
      <c r="I650" s="232">
        <f t="shared" ref="I650:P650" si="495">I612*I$599</f>
        <v>0</v>
      </c>
      <c r="J650" s="232">
        <f t="shared" si="495"/>
        <v>0</v>
      </c>
      <c r="K650" s="232">
        <f t="shared" si="495"/>
        <v>0</v>
      </c>
      <c r="L650" s="232">
        <f t="shared" si="495"/>
        <v>0</v>
      </c>
      <c r="M650" s="232">
        <f t="shared" si="495"/>
        <v>0</v>
      </c>
      <c r="N650" s="232">
        <f t="shared" si="495"/>
        <v>0</v>
      </c>
      <c r="O650" s="232">
        <f t="shared" si="495"/>
        <v>0</v>
      </c>
      <c r="P650" s="232">
        <f t="shared" si="495"/>
        <v>0</v>
      </c>
    </row>
    <row r="651" spans="3:16" hidden="1" outlineLevel="2">
      <c r="C651" s="73" t="str">
        <v>SpareOfferD10</v>
      </c>
      <c r="D651" t="s">
        <v>301</v>
      </c>
      <c r="F651" s="234">
        <f t="shared" si="478"/>
        <v>0</v>
      </c>
      <c r="H651" s="232">
        <f t="shared" ref="H651" si="496">H613*H$599</f>
        <v>0</v>
      </c>
      <c r="I651" s="232">
        <f t="shared" ref="I651:P651" si="497">I613*I$599</f>
        <v>0</v>
      </c>
      <c r="J651" s="232">
        <f t="shared" si="497"/>
        <v>0</v>
      </c>
      <c r="K651" s="232">
        <f t="shared" si="497"/>
        <v>0</v>
      </c>
      <c r="L651" s="232">
        <f t="shared" si="497"/>
        <v>0</v>
      </c>
      <c r="M651" s="232">
        <f t="shared" si="497"/>
        <v>0</v>
      </c>
      <c r="N651" s="232">
        <f t="shared" si="497"/>
        <v>0</v>
      </c>
      <c r="O651" s="232">
        <f t="shared" si="497"/>
        <v>0</v>
      </c>
      <c r="P651" s="232">
        <f t="shared" si="497"/>
        <v>0</v>
      </c>
    </row>
    <row r="652" spans="3:16" hidden="1" outlineLevel="2">
      <c r="C652" s="73" t="str">
        <v>SpareOfferD11</v>
      </c>
      <c r="D652" t="s">
        <v>301</v>
      </c>
      <c r="F652" s="234">
        <f t="shared" si="478"/>
        <v>0</v>
      </c>
      <c r="H652" s="232">
        <f t="shared" ref="H652" si="498">H614*H$599</f>
        <v>0</v>
      </c>
      <c r="I652" s="232">
        <f t="shared" ref="I652:P652" si="499">I614*I$599</f>
        <v>0</v>
      </c>
      <c r="J652" s="232">
        <f t="shared" si="499"/>
        <v>0</v>
      </c>
      <c r="K652" s="232">
        <f t="shared" si="499"/>
        <v>0</v>
      </c>
      <c r="L652" s="232">
        <f t="shared" si="499"/>
        <v>0</v>
      </c>
      <c r="M652" s="232">
        <f t="shared" si="499"/>
        <v>0</v>
      </c>
      <c r="N652" s="232">
        <f t="shared" si="499"/>
        <v>0</v>
      </c>
      <c r="O652" s="232">
        <f t="shared" si="499"/>
        <v>0</v>
      </c>
      <c r="P652" s="232">
        <f t="shared" si="499"/>
        <v>0</v>
      </c>
    </row>
    <row r="653" spans="3:16" hidden="1" outlineLevel="2">
      <c r="C653" s="73" t="str">
        <v>SpareOfferD12</v>
      </c>
      <c r="D653" t="s">
        <v>301</v>
      </c>
      <c r="F653" s="234">
        <f t="shared" si="478"/>
        <v>0</v>
      </c>
      <c r="H653" s="232">
        <f t="shared" ref="H653" si="500">H615*H$599</f>
        <v>0</v>
      </c>
      <c r="I653" s="232">
        <f t="shared" ref="I653:P653" si="501">I615*I$599</f>
        <v>0</v>
      </c>
      <c r="J653" s="232">
        <f t="shared" si="501"/>
        <v>0</v>
      </c>
      <c r="K653" s="232">
        <f t="shared" si="501"/>
        <v>0</v>
      </c>
      <c r="L653" s="232">
        <f t="shared" si="501"/>
        <v>0</v>
      </c>
      <c r="M653" s="232">
        <f t="shared" si="501"/>
        <v>0</v>
      </c>
      <c r="N653" s="232">
        <f t="shared" si="501"/>
        <v>0</v>
      </c>
      <c r="O653" s="232">
        <f t="shared" si="501"/>
        <v>0</v>
      </c>
      <c r="P653" s="232">
        <f t="shared" si="501"/>
        <v>0</v>
      </c>
    </row>
    <row r="654" spans="3:16" hidden="1" outlineLevel="2">
      <c r="C654" s="73" t="str">
        <v>SpareOfferD13</v>
      </c>
      <c r="D654" t="s">
        <v>301</v>
      </c>
      <c r="F654" s="234">
        <f t="shared" si="478"/>
        <v>0</v>
      </c>
      <c r="H654" s="232">
        <f t="shared" ref="H654" si="502">H616*H$599</f>
        <v>0</v>
      </c>
      <c r="I654" s="232">
        <f t="shared" ref="I654:P654" si="503">I616*I$599</f>
        <v>0</v>
      </c>
      <c r="J654" s="232">
        <f t="shared" si="503"/>
        <v>0</v>
      </c>
      <c r="K654" s="232">
        <f t="shared" si="503"/>
        <v>0</v>
      </c>
      <c r="L654" s="232">
        <f t="shared" si="503"/>
        <v>0</v>
      </c>
      <c r="M654" s="232">
        <f t="shared" si="503"/>
        <v>0</v>
      </c>
      <c r="N654" s="232">
        <f t="shared" si="503"/>
        <v>0</v>
      </c>
      <c r="O654" s="232">
        <f t="shared" si="503"/>
        <v>0</v>
      </c>
      <c r="P654" s="232">
        <f t="shared" si="503"/>
        <v>0</v>
      </c>
    </row>
    <row r="655" spans="3:16" hidden="1" outlineLevel="2">
      <c r="C655" s="73" t="str">
        <v>SpareOfferD14</v>
      </c>
      <c r="D655" t="s">
        <v>301</v>
      </c>
      <c r="F655" s="234">
        <f t="shared" si="478"/>
        <v>0</v>
      </c>
      <c r="H655" s="232">
        <f t="shared" ref="H655" si="504">H617*H$599</f>
        <v>0</v>
      </c>
      <c r="I655" s="232">
        <f t="shared" ref="I655:P655" si="505">I617*I$599</f>
        <v>0</v>
      </c>
      <c r="J655" s="232">
        <f t="shared" si="505"/>
        <v>0</v>
      </c>
      <c r="K655" s="232">
        <f t="shared" si="505"/>
        <v>0</v>
      </c>
      <c r="L655" s="232">
        <f t="shared" si="505"/>
        <v>0</v>
      </c>
      <c r="M655" s="232">
        <f t="shared" si="505"/>
        <v>0</v>
      </c>
      <c r="N655" s="232">
        <f t="shared" si="505"/>
        <v>0</v>
      </c>
      <c r="O655" s="232">
        <f t="shared" si="505"/>
        <v>0</v>
      </c>
      <c r="P655" s="232">
        <f t="shared" si="505"/>
        <v>0</v>
      </c>
    </row>
    <row r="656" spans="3:16" hidden="1" outlineLevel="2">
      <c r="C656" s="73" t="str">
        <v>SpareOfferD15</v>
      </c>
      <c r="D656" t="s">
        <v>301</v>
      </c>
      <c r="F656" s="234">
        <f t="shared" si="478"/>
        <v>0</v>
      </c>
      <c r="H656" s="232">
        <f t="shared" ref="H656" si="506">H618*H$599</f>
        <v>0</v>
      </c>
      <c r="I656" s="232">
        <f t="shared" ref="I656:P656" si="507">I618*I$599</f>
        <v>0</v>
      </c>
      <c r="J656" s="232">
        <f t="shared" si="507"/>
        <v>0</v>
      </c>
      <c r="K656" s="232">
        <f t="shared" si="507"/>
        <v>0</v>
      </c>
      <c r="L656" s="232">
        <f t="shared" si="507"/>
        <v>0</v>
      </c>
      <c r="M656" s="232">
        <f t="shared" si="507"/>
        <v>0</v>
      </c>
      <c r="N656" s="232">
        <f t="shared" si="507"/>
        <v>0</v>
      </c>
      <c r="O656" s="232">
        <f t="shared" si="507"/>
        <v>0</v>
      </c>
      <c r="P656" s="232">
        <f t="shared" si="507"/>
        <v>0</v>
      </c>
    </row>
    <row r="657" spans="3:16" hidden="1" outlineLevel="2">
      <c r="C657" s="73" t="str">
        <v>SpareOfferD16</v>
      </c>
      <c r="D657" t="s">
        <v>301</v>
      </c>
      <c r="F657" s="234">
        <f t="shared" si="478"/>
        <v>0</v>
      </c>
      <c r="H657" s="232">
        <f t="shared" ref="H657" si="508">H619*H$599</f>
        <v>0</v>
      </c>
      <c r="I657" s="232">
        <f t="shared" ref="I657:P657" si="509">I619*I$599</f>
        <v>0</v>
      </c>
      <c r="J657" s="232">
        <f t="shared" si="509"/>
        <v>0</v>
      </c>
      <c r="K657" s="232">
        <f t="shared" si="509"/>
        <v>0</v>
      </c>
      <c r="L657" s="232">
        <f t="shared" si="509"/>
        <v>0</v>
      </c>
      <c r="M657" s="232">
        <f t="shared" si="509"/>
        <v>0</v>
      </c>
      <c r="N657" s="232">
        <f t="shared" si="509"/>
        <v>0</v>
      </c>
      <c r="O657" s="232">
        <f t="shared" si="509"/>
        <v>0</v>
      </c>
      <c r="P657" s="232">
        <f t="shared" si="509"/>
        <v>0</v>
      </c>
    </row>
    <row r="658" spans="3:16" hidden="1" outlineLevel="2">
      <c r="C658" s="73" t="str">
        <v>SpareOfferD17</v>
      </c>
      <c r="D658" t="s">
        <v>301</v>
      </c>
      <c r="F658" s="234">
        <f t="shared" si="478"/>
        <v>0</v>
      </c>
      <c r="H658" s="232">
        <f t="shared" ref="H658" si="510">H620*H$599</f>
        <v>0</v>
      </c>
      <c r="I658" s="232">
        <f t="shared" ref="I658:P658" si="511">I620*I$599</f>
        <v>0</v>
      </c>
      <c r="J658" s="232">
        <f t="shared" si="511"/>
        <v>0</v>
      </c>
      <c r="K658" s="232">
        <f t="shared" si="511"/>
        <v>0</v>
      </c>
      <c r="L658" s="232">
        <f t="shared" si="511"/>
        <v>0</v>
      </c>
      <c r="M658" s="232">
        <f t="shared" si="511"/>
        <v>0</v>
      </c>
      <c r="N658" s="232">
        <f t="shared" si="511"/>
        <v>0</v>
      </c>
      <c r="O658" s="232">
        <f t="shared" si="511"/>
        <v>0</v>
      </c>
      <c r="P658" s="232">
        <f t="shared" si="511"/>
        <v>0</v>
      </c>
    </row>
    <row r="659" spans="3:16" hidden="1" outlineLevel="2">
      <c r="C659" s="73" t="str">
        <v>SpareOfferD18</v>
      </c>
      <c r="D659" t="s">
        <v>301</v>
      </c>
      <c r="F659" s="234">
        <f t="shared" si="478"/>
        <v>0</v>
      </c>
      <c r="H659" s="232">
        <f t="shared" ref="H659" si="512">H621*H$599</f>
        <v>0</v>
      </c>
      <c r="I659" s="232">
        <f t="shared" ref="I659:P659" si="513">I621*I$599</f>
        <v>0</v>
      </c>
      <c r="J659" s="232">
        <f t="shared" si="513"/>
        <v>0</v>
      </c>
      <c r="K659" s="232">
        <f t="shared" si="513"/>
        <v>0</v>
      </c>
      <c r="L659" s="232">
        <f t="shared" si="513"/>
        <v>0</v>
      </c>
      <c r="M659" s="232">
        <f t="shared" si="513"/>
        <v>0</v>
      </c>
      <c r="N659" s="232">
        <f t="shared" si="513"/>
        <v>0</v>
      </c>
      <c r="O659" s="232">
        <f t="shared" si="513"/>
        <v>0</v>
      </c>
      <c r="P659" s="232">
        <f t="shared" si="513"/>
        <v>0</v>
      </c>
    </row>
    <row r="660" spans="3:16" hidden="1" outlineLevel="2">
      <c r="C660" s="73" t="str">
        <v>SpareOfferD19</v>
      </c>
      <c r="D660" t="s">
        <v>301</v>
      </c>
      <c r="F660" s="234">
        <f t="shared" si="478"/>
        <v>0</v>
      </c>
      <c r="H660" s="232">
        <f t="shared" ref="H660" si="514">H622*H$599</f>
        <v>0</v>
      </c>
      <c r="I660" s="232">
        <f t="shared" ref="I660:P660" si="515">I622*I$599</f>
        <v>0</v>
      </c>
      <c r="J660" s="232">
        <f t="shared" si="515"/>
        <v>0</v>
      </c>
      <c r="K660" s="232">
        <f t="shared" si="515"/>
        <v>0</v>
      </c>
      <c r="L660" s="232">
        <f t="shared" si="515"/>
        <v>0</v>
      </c>
      <c r="M660" s="232">
        <f t="shared" si="515"/>
        <v>0</v>
      </c>
      <c r="N660" s="232">
        <f t="shared" si="515"/>
        <v>0</v>
      </c>
      <c r="O660" s="232">
        <f t="shared" si="515"/>
        <v>0</v>
      </c>
      <c r="P660" s="232">
        <f t="shared" si="515"/>
        <v>0</v>
      </c>
    </row>
    <row r="661" spans="3:16" hidden="1" outlineLevel="2">
      <c r="C661" s="73" t="str">
        <v>SpareOfferD20</v>
      </c>
      <c r="D661" t="s">
        <v>301</v>
      </c>
      <c r="F661" s="234">
        <f t="shared" si="478"/>
        <v>0</v>
      </c>
      <c r="H661" s="232">
        <f t="shared" ref="H661" si="516">H623*H$599</f>
        <v>0</v>
      </c>
      <c r="I661" s="232">
        <f t="shared" ref="I661:P661" si="517">I623*I$599</f>
        <v>0</v>
      </c>
      <c r="J661" s="232">
        <f t="shared" si="517"/>
        <v>0</v>
      </c>
      <c r="K661" s="232">
        <f t="shared" si="517"/>
        <v>0</v>
      </c>
      <c r="L661" s="232">
        <f t="shared" si="517"/>
        <v>0</v>
      </c>
      <c r="M661" s="232">
        <f t="shared" si="517"/>
        <v>0</v>
      </c>
      <c r="N661" s="232">
        <f t="shared" si="517"/>
        <v>0</v>
      </c>
      <c r="O661" s="232">
        <f t="shared" si="517"/>
        <v>0</v>
      </c>
      <c r="P661" s="232">
        <f t="shared" si="517"/>
        <v>0</v>
      </c>
    </row>
    <row r="662" spans="3:16" hidden="1" outlineLevel="2">
      <c r="C662" s="73" t="str">
        <v>SpareOfferD21</v>
      </c>
      <c r="D662" t="s">
        <v>301</v>
      </c>
      <c r="F662" s="234">
        <f t="shared" si="478"/>
        <v>0</v>
      </c>
      <c r="H662" s="232">
        <f t="shared" ref="H662" si="518">H624*H$599</f>
        <v>0</v>
      </c>
      <c r="I662" s="232">
        <f t="shared" ref="I662:P662" si="519">I624*I$599</f>
        <v>0</v>
      </c>
      <c r="J662" s="232">
        <f t="shared" si="519"/>
        <v>0</v>
      </c>
      <c r="K662" s="232">
        <f t="shared" si="519"/>
        <v>0</v>
      </c>
      <c r="L662" s="232">
        <f t="shared" si="519"/>
        <v>0</v>
      </c>
      <c r="M662" s="232">
        <f t="shared" si="519"/>
        <v>0</v>
      </c>
      <c r="N662" s="232">
        <f t="shared" si="519"/>
        <v>0</v>
      </c>
      <c r="O662" s="232">
        <f t="shared" si="519"/>
        <v>0</v>
      </c>
      <c r="P662" s="232">
        <f t="shared" si="519"/>
        <v>0</v>
      </c>
    </row>
    <row r="663" spans="3:16" hidden="1" outlineLevel="2">
      <c r="C663" s="73" t="str">
        <v>SpareOfferD22</v>
      </c>
      <c r="D663" t="s">
        <v>301</v>
      </c>
      <c r="F663" s="234">
        <f t="shared" si="478"/>
        <v>0</v>
      </c>
      <c r="H663" s="232">
        <f t="shared" ref="H663" si="520">H625*H$599</f>
        <v>0</v>
      </c>
      <c r="I663" s="232">
        <f t="shared" ref="I663:P663" si="521">I625*I$599</f>
        <v>0</v>
      </c>
      <c r="J663" s="232">
        <f t="shared" si="521"/>
        <v>0</v>
      </c>
      <c r="K663" s="232">
        <f t="shared" si="521"/>
        <v>0</v>
      </c>
      <c r="L663" s="232">
        <f t="shared" si="521"/>
        <v>0</v>
      </c>
      <c r="M663" s="232">
        <f t="shared" si="521"/>
        <v>0</v>
      </c>
      <c r="N663" s="232">
        <f t="shared" si="521"/>
        <v>0</v>
      </c>
      <c r="O663" s="232">
        <f t="shared" si="521"/>
        <v>0</v>
      </c>
      <c r="P663" s="232">
        <f t="shared" si="521"/>
        <v>0</v>
      </c>
    </row>
    <row r="664" spans="3:16" hidden="1" outlineLevel="2">
      <c r="C664" s="73" t="str">
        <v>SpareOfferD23</v>
      </c>
      <c r="D664" t="s">
        <v>301</v>
      </c>
      <c r="F664" s="234">
        <f t="shared" si="478"/>
        <v>0</v>
      </c>
      <c r="H664" s="232">
        <f t="shared" ref="H664" si="522">H626*H$599</f>
        <v>0</v>
      </c>
      <c r="I664" s="232">
        <f t="shared" ref="I664:P664" si="523">I626*I$599</f>
        <v>0</v>
      </c>
      <c r="J664" s="232">
        <f t="shared" si="523"/>
        <v>0</v>
      </c>
      <c r="K664" s="232">
        <f t="shared" si="523"/>
        <v>0</v>
      </c>
      <c r="L664" s="232">
        <f t="shared" si="523"/>
        <v>0</v>
      </c>
      <c r="M664" s="232">
        <f t="shared" si="523"/>
        <v>0</v>
      </c>
      <c r="N664" s="232">
        <f t="shared" si="523"/>
        <v>0</v>
      </c>
      <c r="O664" s="232">
        <f t="shared" si="523"/>
        <v>0</v>
      </c>
      <c r="P664" s="232">
        <f t="shared" si="523"/>
        <v>0</v>
      </c>
    </row>
    <row r="665" spans="3:16" hidden="1" outlineLevel="2">
      <c r="C665" s="73" t="str">
        <v>SpareOfferD24</v>
      </c>
      <c r="D665" t="s">
        <v>301</v>
      </c>
      <c r="F665" s="234">
        <f t="shared" si="478"/>
        <v>0</v>
      </c>
      <c r="H665" s="232">
        <f t="shared" ref="H665" si="524">H627*H$599</f>
        <v>0</v>
      </c>
      <c r="I665" s="232">
        <f t="shared" ref="I665:P665" si="525">I627*I$599</f>
        <v>0</v>
      </c>
      <c r="J665" s="232">
        <f t="shared" si="525"/>
        <v>0</v>
      </c>
      <c r="K665" s="232">
        <f t="shared" si="525"/>
        <v>0</v>
      </c>
      <c r="L665" s="232">
        <f t="shared" si="525"/>
        <v>0</v>
      </c>
      <c r="M665" s="232">
        <f t="shared" si="525"/>
        <v>0</v>
      </c>
      <c r="N665" s="232">
        <f t="shared" si="525"/>
        <v>0</v>
      </c>
      <c r="O665" s="232">
        <f t="shared" si="525"/>
        <v>0</v>
      </c>
      <c r="P665" s="232">
        <f t="shared" si="525"/>
        <v>0</v>
      </c>
    </row>
    <row r="666" spans="3:16" hidden="1" outlineLevel="2">
      <c r="C666" s="73" t="str">
        <v>SpareOfferD25</v>
      </c>
      <c r="D666" t="s">
        <v>301</v>
      </c>
      <c r="F666" s="234">
        <f t="shared" si="478"/>
        <v>0</v>
      </c>
      <c r="H666" s="232">
        <f t="shared" ref="H666" si="526">H628*H$599</f>
        <v>0</v>
      </c>
      <c r="I666" s="232">
        <f t="shared" ref="I666:P666" si="527">I628*I$599</f>
        <v>0</v>
      </c>
      <c r="J666" s="232">
        <f t="shared" si="527"/>
        <v>0</v>
      </c>
      <c r="K666" s="232">
        <f t="shared" si="527"/>
        <v>0</v>
      </c>
      <c r="L666" s="232">
        <f t="shared" si="527"/>
        <v>0</v>
      </c>
      <c r="M666" s="232">
        <f t="shared" si="527"/>
        <v>0</v>
      </c>
      <c r="N666" s="232">
        <f t="shared" si="527"/>
        <v>0</v>
      </c>
      <c r="O666" s="232">
        <f t="shared" si="527"/>
        <v>0</v>
      </c>
      <c r="P666" s="232">
        <f t="shared" si="527"/>
        <v>0</v>
      </c>
    </row>
    <row r="667" spans="3:16" hidden="1" outlineLevel="2">
      <c r="C667" s="73" t="str">
        <v>SpareOfferD26</v>
      </c>
      <c r="D667" t="s">
        <v>301</v>
      </c>
      <c r="F667" s="234">
        <f t="shared" si="478"/>
        <v>0</v>
      </c>
      <c r="H667" s="232">
        <f t="shared" ref="H667" si="528">H629*H$599</f>
        <v>0</v>
      </c>
      <c r="I667" s="232">
        <f t="shared" ref="I667:P667" si="529">I629*I$599</f>
        <v>0</v>
      </c>
      <c r="J667" s="232">
        <f t="shared" si="529"/>
        <v>0</v>
      </c>
      <c r="K667" s="232">
        <f t="shared" si="529"/>
        <v>0</v>
      </c>
      <c r="L667" s="232">
        <f t="shared" si="529"/>
        <v>0</v>
      </c>
      <c r="M667" s="232">
        <f t="shared" si="529"/>
        <v>0</v>
      </c>
      <c r="N667" s="232">
        <f t="shared" si="529"/>
        <v>0</v>
      </c>
      <c r="O667" s="232">
        <f t="shared" si="529"/>
        <v>0</v>
      </c>
      <c r="P667" s="232">
        <f t="shared" si="529"/>
        <v>0</v>
      </c>
    </row>
    <row r="668" spans="3:16" hidden="1" outlineLevel="2">
      <c r="C668" s="73" t="str">
        <v>SpareOfferD27</v>
      </c>
      <c r="D668" t="s">
        <v>301</v>
      </c>
      <c r="F668" s="234">
        <f t="shared" si="478"/>
        <v>0</v>
      </c>
      <c r="H668" s="232">
        <f t="shared" ref="H668" si="530">H630*H$599</f>
        <v>0</v>
      </c>
      <c r="I668" s="232">
        <f t="shared" ref="I668:P668" si="531">I630*I$599</f>
        <v>0</v>
      </c>
      <c r="J668" s="232">
        <f t="shared" si="531"/>
        <v>0</v>
      </c>
      <c r="K668" s="232">
        <f t="shared" si="531"/>
        <v>0</v>
      </c>
      <c r="L668" s="232">
        <f t="shared" si="531"/>
        <v>0</v>
      </c>
      <c r="M668" s="232">
        <f t="shared" si="531"/>
        <v>0</v>
      </c>
      <c r="N668" s="232">
        <f t="shared" si="531"/>
        <v>0</v>
      </c>
      <c r="O668" s="232">
        <f t="shared" si="531"/>
        <v>0</v>
      </c>
      <c r="P668" s="232">
        <f t="shared" si="531"/>
        <v>0</v>
      </c>
    </row>
    <row r="669" spans="3:16" hidden="1" outlineLevel="2">
      <c r="C669" s="73" t="str">
        <v>SpareOfferD28</v>
      </c>
      <c r="D669" t="s">
        <v>301</v>
      </c>
      <c r="F669" s="234">
        <f t="shared" si="478"/>
        <v>0</v>
      </c>
      <c r="H669" s="232">
        <f t="shared" ref="H669" si="532">H631*H$599</f>
        <v>0</v>
      </c>
      <c r="I669" s="232">
        <f t="shared" ref="I669:P669" si="533">I631*I$599</f>
        <v>0</v>
      </c>
      <c r="J669" s="232">
        <f t="shared" si="533"/>
        <v>0</v>
      </c>
      <c r="K669" s="232">
        <f t="shared" si="533"/>
        <v>0</v>
      </c>
      <c r="L669" s="232">
        <f t="shared" si="533"/>
        <v>0</v>
      </c>
      <c r="M669" s="232">
        <f t="shared" si="533"/>
        <v>0</v>
      </c>
      <c r="N669" s="232">
        <f t="shared" si="533"/>
        <v>0</v>
      </c>
      <c r="O669" s="232">
        <f t="shared" si="533"/>
        <v>0</v>
      </c>
      <c r="P669" s="232">
        <f t="shared" si="533"/>
        <v>0</v>
      </c>
    </row>
    <row r="670" spans="3:16" hidden="1" outlineLevel="2">
      <c r="C670" s="73" t="str">
        <v>SpareOfferD29</v>
      </c>
      <c r="D670" t="s">
        <v>301</v>
      </c>
      <c r="F670" s="234">
        <f t="shared" si="478"/>
        <v>0</v>
      </c>
      <c r="H670" s="232">
        <f t="shared" ref="H670" si="534">H632*H$599</f>
        <v>0</v>
      </c>
      <c r="I670" s="232">
        <f t="shared" ref="I670:P670" si="535">I632*I$599</f>
        <v>0</v>
      </c>
      <c r="J670" s="232">
        <f t="shared" si="535"/>
        <v>0</v>
      </c>
      <c r="K670" s="232">
        <f t="shared" si="535"/>
        <v>0</v>
      </c>
      <c r="L670" s="232">
        <f t="shared" si="535"/>
        <v>0</v>
      </c>
      <c r="M670" s="232">
        <f t="shared" si="535"/>
        <v>0</v>
      </c>
      <c r="N670" s="232">
        <f t="shared" si="535"/>
        <v>0</v>
      </c>
      <c r="O670" s="232">
        <f t="shared" si="535"/>
        <v>0</v>
      </c>
      <c r="P670" s="232">
        <f t="shared" si="535"/>
        <v>0</v>
      </c>
    </row>
    <row r="671" spans="3:16" hidden="1" outlineLevel="2">
      <c r="C671" s="73" t="str">
        <v>SpareOfferD30</v>
      </c>
      <c r="D671" t="s">
        <v>301</v>
      </c>
      <c r="F671" s="234">
        <f t="shared" si="478"/>
        <v>0</v>
      </c>
      <c r="H671" s="232">
        <f t="shared" ref="H671" si="536">H633*H$599</f>
        <v>0</v>
      </c>
      <c r="I671" s="232">
        <f t="shared" ref="I671:P671" si="537">I633*I$599</f>
        <v>0</v>
      </c>
      <c r="J671" s="232">
        <f t="shared" si="537"/>
        <v>0</v>
      </c>
      <c r="K671" s="232">
        <f t="shared" si="537"/>
        <v>0</v>
      </c>
      <c r="L671" s="232">
        <f t="shared" si="537"/>
        <v>0</v>
      </c>
      <c r="M671" s="232">
        <f t="shared" si="537"/>
        <v>0</v>
      </c>
      <c r="N671" s="232">
        <f t="shared" si="537"/>
        <v>0</v>
      </c>
      <c r="O671" s="232">
        <f t="shared" si="537"/>
        <v>0</v>
      </c>
      <c r="P671" s="232">
        <f t="shared" si="537"/>
        <v>0</v>
      </c>
    </row>
    <row r="672" spans="3:16" hidden="1" outlineLevel="2">
      <c r="C672" s="73" t="str">
        <v>SpareOfferD31</v>
      </c>
      <c r="D672" t="s">
        <v>301</v>
      </c>
      <c r="F672" s="234">
        <f t="shared" si="478"/>
        <v>0</v>
      </c>
      <c r="H672" s="232">
        <f t="shared" ref="H672" si="538">H634*H$599</f>
        <v>0</v>
      </c>
      <c r="I672" s="232">
        <f t="shared" ref="I672:P672" si="539">I634*I$599</f>
        <v>0</v>
      </c>
      <c r="J672" s="232">
        <f t="shared" si="539"/>
        <v>0</v>
      </c>
      <c r="K672" s="232">
        <f t="shared" si="539"/>
        <v>0</v>
      </c>
      <c r="L672" s="232">
        <f t="shared" si="539"/>
        <v>0</v>
      </c>
      <c r="M672" s="232">
        <f t="shared" si="539"/>
        <v>0</v>
      </c>
      <c r="N672" s="232">
        <f t="shared" si="539"/>
        <v>0</v>
      </c>
      <c r="O672" s="232">
        <f t="shared" si="539"/>
        <v>0</v>
      </c>
      <c r="P672" s="232">
        <f t="shared" si="539"/>
        <v>0</v>
      </c>
    </row>
    <row r="673" spans="1:16" hidden="1" outlineLevel="2">
      <c r="C673" s="73" t="str">
        <v>SpareOfferD32</v>
      </c>
      <c r="D673" t="s">
        <v>301</v>
      </c>
      <c r="F673" s="234">
        <f t="shared" si="478"/>
        <v>0</v>
      </c>
      <c r="H673" s="232">
        <f t="shared" ref="H673" si="540">H635*H$599</f>
        <v>0</v>
      </c>
      <c r="I673" s="232">
        <f t="shared" ref="I673:P673" si="541">I635*I$599</f>
        <v>0</v>
      </c>
      <c r="J673" s="232">
        <f t="shared" si="541"/>
        <v>0</v>
      </c>
      <c r="K673" s="232">
        <f t="shared" si="541"/>
        <v>0</v>
      </c>
      <c r="L673" s="232">
        <f t="shared" si="541"/>
        <v>0</v>
      </c>
      <c r="M673" s="232">
        <f t="shared" si="541"/>
        <v>0</v>
      </c>
      <c r="N673" s="232">
        <f t="shared" si="541"/>
        <v>0</v>
      </c>
      <c r="O673" s="232">
        <f t="shared" si="541"/>
        <v>0</v>
      </c>
      <c r="P673" s="232">
        <f t="shared" si="541"/>
        <v>0</v>
      </c>
    </row>
    <row r="674" spans="1:16" hidden="1" outlineLevel="2">
      <c r="C674" s="73" t="str">
        <v>SpareOfferD33</v>
      </c>
      <c r="D674" t="s">
        <v>301</v>
      </c>
      <c r="F674" s="234">
        <f t="shared" si="478"/>
        <v>0</v>
      </c>
      <c r="H674" s="232">
        <f t="shared" ref="H674" si="542">H636*H$599</f>
        <v>0</v>
      </c>
      <c r="I674" s="232">
        <f t="shared" ref="I674:P674" si="543">I636*I$599</f>
        <v>0</v>
      </c>
      <c r="J674" s="232">
        <f t="shared" si="543"/>
        <v>0</v>
      </c>
      <c r="K674" s="232">
        <f t="shared" si="543"/>
        <v>0</v>
      </c>
      <c r="L674" s="232">
        <f t="shared" si="543"/>
        <v>0</v>
      </c>
      <c r="M674" s="232">
        <f t="shared" si="543"/>
        <v>0</v>
      </c>
      <c r="N674" s="232">
        <f t="shared" si="543"/>
        <v>0</v>
      </c>
      <c r="O674" s="232">
        <f t="shared" si="543"/>
        <v>0</v>
      </c>
      <c r="P674" s="232">
        <f t="shared" si="543"/>
        <v>0</v>
      </c>
    </row>
    <row r="675" spans="1:16" hidden="1" outlineLevel="2">
      <c r="C675" s="73" t="str">
        <v>SpareOfferD34</v>
      </c>
      <c r="D675" t="s">
        <v>301</v>
      </c>
      <c r="F675" s="234">
        <f t="shared" si="478"/>
        <v>0</v>
      </c>
      <c r="H675" s="232">
        <f t="shared" ref="H675" si="544">H637*H$599</f>
        <v>0</v>
      </c>
      <c r="I675" s="232">
        <f t="shared" ref="I675:P675" si="545">I637*I$599</f>
        <v>0</v>
      </c>
      <c r="J675" s="232">
        <f t="shared" si="545"/>
        <v>0</v>
      </c>
      <c r="K675" s="232">
        <f t="shared" si="545"/>
        <v>0</v>
      </c>
      <c r="L675" s="232">
        <f t="shared" si="545"/>
        <v>0</v>
      </c>
      <c r="M675" s="232">
        <f t="shared" si="545"/>
        <v>0</v>
      </c>
      <c r="N675" s="232">
        <f t="shared" si="545"/>
        <v>0</v>
      </c>
      <c r="O675" s="232">
        <f t="shared" si="545"/>
        <v>0</v>
      </c>
      <c r="P675" s="232">
        <f t="shared" si="545"/>
        <v>0</v>
      </c>
    </row>
    <row r="676" spans="1:16" outlineLevel="1" collapsed="1">
      <c r="C676" s="73" t="str">
        <v>-</v>
      </c>
      <c r="D676" t="s">
        <v>301</v>
      </c>
      <c r="F676" s="234">
        <f>SUM(H676:P676)</f>
        <v>0</v>
      </c>
      <c r="H676" s="232">
        <f t="shared" ref="H676" si="546">H638*H$599</f>
        <v>0</v>
      </c>
      <c r="I676" s="232">
        <f t="shared" ref="I676:P676" si="547">I638*I$599</f>
        <v>0</v>
      </c>
      <c r="J676" s="232">
        <f t="shared" si="547"/>
        <v>0</v>
      </c>
      <c r="K676" s="232">
        <f t="shared" si="547"/>
        <v>0</v>
      </c>
      <c r="L676" s="232">
        <f t="shared" si="547"/>
        <v>0</v>
      </c>
      <c r="M676" s="232">
        <f t="shared" si="547"/>
        <v>0</v>
      </c>
      <c r="N676" s="232">
        <f t="shared" si="547"/>
        <v>0</v>
      </c>
      <c r="O676" s="232">
        <f t="shared" si="547"/>
        <v>0</v>
      </c>
      <c r="P676" s="232">
        <f t="shared" si="547"/>
        <v>0</v>
      </c>
    </row>
    <row r="678" spans="1:16" ht="15.5">
      <c r="A678" s="36" t="s">
        <v>370</v>
      </c>
    </row>
    <row r="680" spans="1:16" s="220" customFormat="1">
      <c r="A680" s="220">
        <v>1</v>
      </c>
      <c r="B680" s="221" t="str">
        <f>INDEX(segments,A680)</f>
        <v>Residential</v>
      </c>
      <c r="C680" s="207"/>
    </row>
    <row r="681" spans="1:16" outlineLevel="1"/>
    <row r="682" spans="1:16" ht="23" outlineLevel="1">
      <c r="B682" s="91" t="s">
        <v>341</v>
      </c>
      <c r="J682" s="1" t="str">
        <f t="array" ref="J682:L682">options.selected.VAS</f>
        <v>VAS minutes</v>
      </c>
      <c r="K682" s="95" t="str">
        <v>VAS BankID</v>
      </c>
      <c r="L682" s="95" t="str">
        <v>Other VAS messages</v>
      </c>
    </row>
    <row r="683" spans="1:16" outlineLevel="1">
      <c r="C683" t="s">
        <v>371</v>
      </c>
      <c r="D683" t="s">
        <v>282</v>
      </c>
      <c r="J683" s="239">
        <f t="array" ref="J683:L683">VAS.IC</f>
        <v>0</v>
      </c>
      <c r="K683" s="239">
        <v>0</v>
      </c>
      <c r="L683" s="239">
        <v>0</v>
      </c>
    </row>
    <row r="684" spans="1:16" outlineLevel="1"/>
    <row r="685" spans="1:16" outlineLevel="1">
      <c r="J685" s="213" t="s">
        <v>532</v>
      </c>
      <c r="K685" s="213" t="s">
        <v>532</v>
      </c>
      <c r="L685" s="213" t="s">
        <v>198</v>
      </c>
    </row>
    <row r="686" spans="1:16" outlineLevel="1">
      <c r="J686">
        <f>MATCH(J688,demand.descriptions.short,0)</f>
        <v>7</v>
      </c>
      <c r="K686">
        <f>MATCH(K688,demand.descriptions.short,0)</f>
        <v>8</v>
      </c>
      <c r="L686" s="238">
        <f>MATCH(L688,revenue.descriptions.short,0)</f>
        <v>13</v>
      </c>
    </row>
    <row r="687" spans="1:16" outlineLevel="1">
      <c r="B687" s="91" t="s">
        <v>374</v>
      </c>
      <c r="J687" s="66" t="s">
        <v>271</v>
      </c>
      <c r="K687" s="66"/>
      <c r="L687" s="66"/>
    </row>
    <row r="688" spans="1:16" ht="23" outlineLevel="1">
      <c r="F688" s="127" t="s">
        <v>190</v>
      </c>
      <c r="H688" s="119" t="s">
        <v>223</v>
      </c>
      <c r="J688" s="1" t="str">
        <f t="array" ref="J688:L688">options.selected.VAS</f>
        <v>VAS minutes</v>
      </c>
      <c r="K688" s="95" t="str">
        <v>VAS BankID</v>
      </c>
      <c r="L688" s="95" t="str">
        <v>Other VAS messages</v>
      </c>
    </row>
    <row r="689" spans="2:12" outlineLevel="1">
      <c r="C689" s="91" t="s">
        <v>89</v>
      </c>
      <c r="D689" t="s">
        <v>170</v>
      </c>
      <c r="F689" s="233">
        <f>SUMPRODUCT(F690:F724,$H690:$H724)</f>
        <v>0</v>
      </c>
      <c r="J689" s="106">
        <f>SUMPRODUCT(J690:J724,$H690:$H724)</f>
        <v>0</v>
      </c>
      <c r="K689" s="106">
        <f>SUMPRODUCT(K690:K724,$H690:$H724)</f>
        <v>0</v>
      </c>
      <c r="L689" s="106">
        <f>SUMPRODUCT(L690:L724,$H690:$H724)</f>
        <v>0</v>
      </c>
    </row>
    <row r="690" spans="2:12" outlineLevel="1">
      <c r="B690">
        <f t="shared" ref="B690:B724" si="548">MATCH(C690,offers.segment.all,0)</f>
        <v>1</v>
      </c>
      <c r="C690" s="73" t="str">
        <f t="array" ref="C690:C724">offers.segment.1</f>
        <v>SpareOfferA1</v>
      </c>
      <c r="D690" t="s">
        <v>170</v>
      </c>
      <c r="F690" s="237">
        <f>SUMPRODUCT(J690:L690,$J$683:$L$683)</f>
        <v>0</v>
      </c>
      <c r="H690" s="87">
        <f t="array" ref="H690:H724">subscription.split.segment.1</f>
        <v>0</v>
      </c>
      <c r="J690" s="236">
        <f t="shared" ref="J690:K709" si="549">INDEX(per.sub.volumes.by.demand.descriptions,$B690,J$686)</f>
        <v>0</v>
      </c>
      <c r="K690" s="236">
        <f t="shared" si="549"/>
        <v>0</v>
      </c>
      <c r="L690" s="122">
        <f t="shared" ref="L690:L724" si="550">INDEX(per.sub.revenues.by.revenues.descriptions,$B690,L$686)</f>
        <v>0</v>
      </c>
    </row>
    <row r="691" spans="2:12" hidden="1" outlineLevel="2">
      <c r="B691">
        <f t="shared" si="548"/>
        <v>2</v>
      </c>
      <c r="C691" s="73" t="str">
        <v>SpareOfferA2</v>
      </c>
      <c r="D691" t="s">
        <v>170</v>
      </c>
      <c r="F691" s="237">
        <f t="shared" ref="F691:F724" si="551">SUMPRODUCT(J691:L691,$J$683:$L$683)</f>
        <v>0</v>
      </c>
      <c r="H691" s="87">
        <v>0</v>
      </c>
      <c r="J691" s="236">
        <f t="shared" si="549"/>
        <v>0</v>
      </c>
      <c r="K691" s="236">
        <f t="shared" si="549"/>
        <v>0</v>
      </c>
      <c r="L691" s="122">
        <f t="shared" si="550"/>
        <v>0</v>
      </c>
    </row>
    <row r="692" spans="2:12" hidden="1" outlineLevel="2">
      <c r="B692">
        <f t="shared" si="548"/>
        <v>3</v>
      </c>
      <c r="C692" s="73" t="str">
        <v>SpareOfferA3</v>
      </c>
      <c r="D692" t="s">
        <v>170</v>
      </c>
      <c r="F692" s="237">
        <f t="shared" si="551"/>
        <v>0</v>
      </c>
      <c r="H692" s="87">
        <v>0</v>
      </c>
      <c r="J692" s="236">
        <f t="shared" si="549"/>
        <v>0</v>
      </c>
      <c r="K692" s="236">
        <f t="shared" si="549"/>
        <v>0</v>
      </c>
      <c r="L692" s="122">
        <f t="shared" si="550"/>
        <v>0</v>
      </c>
    </row>
    <row r="693" spans="2:12" hidden="1" outlineLevel="2">
      <c r="B693">
        <f t="shared" si="548"/>
        <v>4</v>
      </c>
      <c r="C693" s="73" t="str">
        <v>SpareOfferA4</v>
      </c>
      <c r="D693" t="s">
        <v>170</v>
      </c>
      <c r="F693" s="237">
        <f t="shared" si="551"/>
        <v>0</v>
      </c>
      <c r="H693" s="87">
        <v>0</v>
      </c>
      <c r="J693" s="236">
        <f t="shared" si="549"/>
        <v>0</v>
      </c>
      <c r="K693" s="236">
        <f t="shared" si="549"/>
        <v>0</v>
      </c>
      <c r="L693" s="122">
        <f t="shared" si="550"/>
        <v>0</v>
      </c>
    </row>
    <row r="694" spans="2:12" hidden="1" outlineLevel="2">
      <c r="B694">
        <f t="shared" si="548"/>
        <v>5</v>
      </c>
      <c r="C694" s="73" t="str">
        <v>SpareOfferA5</v>
      </c>
      <c r="D694" t="s">
        <v>170</v>
      </c>
      <c r="F694" s="237">
        <f t="shared" si="551"/>
        <v>0</v>
      </c>
      <c r="H694" s="87">
        <v>0</v>
      </c>
      <c r="J694" s="236">
        <f t="shared" si="549"/>
        <v>0</v>
      </c>
      <c r="K694" s="236">
        <f t="shared" si="549"/>
        <v>0</v>
      </c>
      <c r="L694" s="122">
        <f t="shared" si="550"/>
        <v>0</v>
      </c>
    </row>
    <row r="695" spans="2:12" hidden="1" outlineLevel="2">
      <c r="B695">
        <f t="shared" si="548"/>
        <v>6</v>
      </c>
      <c r="C695" s="73" t="str">
        <v>SpareOfferA6</v>
      </c>
      <c r="D695" t="s">
        <v>170</v>
      </c>
      <c r="F695" s="237">
        <f t="shared" si="551"/>
        <v>0</v>
      </c>
      <c r="H695" s="87">
        <v>0</v>
      </c>
      <c r="J695" s="236">
        <f t="shared" si="549"/>
        <v>0</v>
      </c>
      <c r="K695" s="236">
        <f t="shared" si="549"/>
        <v>0</v>
      </c>
      <c r="L695" s="122">
        <f t="shared" si="550"/>
        <v>0</v>
      </c>
    </row>
    <row r="696" spans="2:12" hidden="1" outlineLevel="2">
      <c r="B696">
        <f t="shared" si="548"/>
        <v>7</v>
      </c>
      <c r="C696" s="73" t="str">
        <v>SpareOfferA7</v>
      </c>
      <c r="D696" t="s">
        <v>170</v>
      </c>
      <c r="F696" s="237">
        <f t="shared" si="551"/>
        <v>0</v>
      </c>
      <c r="H696" s="87">
        <v>0</v>
      </c>
      <c r="J696" s="236">
        <f t="shared" si="549"/>
        <v>0</v>
      </c>
      <c r="K696" s="236">
        <f t="shared" si="549"/>
        <v>0</v>
      </c>
      <c r="L696" s="122">
        <f t="shared" si="550"/>
        <v>0</v>
      </c>
    </row>
    <row r="697" spans="2:12" hidden="1" outlineLevel="2">
      <c r="B697">
        <f t="shared" si="548"/>
        <v>8</v>
      </c>
      <c r="C697" s="73" t="str">
        <v>SpareOfferA8</v>
      </c>
      <c r="D697" t="s">
        <v>170</v>
      </c>
      <c r="F697" s="237">
        <f t="shared" si="551"/>
        <v>0</v>
      </c>
      <c r="H697" s="87">
        <v>0</v>
      </c>
      <c r="J697" s="236">
        <f t="shared" si="549"/>
        <v>0</v>
      </c>
      <c r="K697" s="236">
        <f t="shared" si="549"/>
        <v>0</v>
      </c>
      <c r="L697" s="122">
        <f t="shared" si="550"/>
        <v>0</v>
      </c>
    </row>
    <row r="698" spans="2:12" hidden="1" outlineLevel="2">
      <c r="B698">
        <f t="shared" si="548"/>
        <v>9</v>
      </c>
      <c r="C698" s="73" t="str">
        <v>SpareOfferA9</v>
      </c>
      <c r="D698" t="s">
        <v>170</v>
      </c>
      <c r="F698" s="237">
        <f t="shared" si="551"/>
        <v>0</v>
      </c>
      <c r="H698" s="87">
        <v>0</v>
      </c>
      <c r="J698" s="236">
        <f t="shared" si="549"/>
        <v>0</v>
      </c>
      <c r="K698" s="236">
        <f t="shared" si="549"/>
        <v>0</v>
      </c>
      <c r="L698" s="122">
        <f t="shared" si="550"/>
        <v>0</v>
      </c>
    </row>
    <row r="699" spans="2:12" hidden="1" outlineLevel="2">
      <c r="B699">
        <f t="shared" si="548"/>
        <v>10</v>
      </c>
      <c r="C699" s="73" t="str">
        <v>SpareOfferA10</v>
      </c>
      <c r="D699" t="s">
        <v>170</v>
      </c>
      <c r="F699" s="237">
        <f t="shared" si="551"/>
        <v>0</v>
      </c>
      <c r="H699" s="87">
        <v>0</v>
      </c>
      <c r="J699" s="236">
        <f t="shared" si="549"/>
        <v>0</v>
      </c>
      <c r="K699" s="236">
        <f t="shared" si="549"/>
        <v>0</v>
      </c>
      <c r="L699" s="122">
        <f t="shared" si="550"/>
        <v>0</v>
      </c>
    </row>
    <row r="700" spans="2:12" hidden="1" outlineLevel="2">
      <c r="B700">
        <f t="shared" si="548"/>
        <v>11</v>
      </c>
      <c r="C700" s="73" t="str">
        <v>SpareOfferA11</v>
      </c>
      <c r="D700" t="s">
        <v>170</v>
      </c>
      <c r="F700" s="237">
        <f t="shared" si="551"/>
        <v>0</v>
      </c>
      <c r="H700" s="87">
        <v>0</v>
      </c>
      <c r="J700" s="236">
        <f t="shared" si="549"/>
        <v>0</v>
      </c>
      <c r="K700" s="236">
        <f t="shared" si="549"/>
        <v>0</v>
      </c>
      <c r="L700" s="122">
        <f t="shared" si="550"/>
        <v>0</v>
      </c>
    </row>
    <row r="701" spans="2:12" hidden="1" outlineLevel="2">
      <c r="B701">
        <f t="shared" si="548"/>
        <v>12</v>
      </c>
      <c r="C701" s="73" t="str">
        <v>SpareOfferA12</v>
      </c>
      <c r="D701" t="s">
        <v>170</v>
      </c>
      <c r="F701" s="237">
        <f t="shared" si="551"/>
        <v>0</v>
      </c>
      <c r="H701" s="87">
        <v>0</v>
      </c>
      <c r="J701" s="236">
        <f t="shared" si="549"/>
        <v>0</v>
      </c>
      <c r="K701" s="236">
        <f t="shared" si="549"/>
        <v>0</v>
      </c>
      <c r="L701" s="122">
        <f t="shared" si="550"/>
        <v>0</v>
      </c>
    </row>
    <row r="702" spans="2:12" hidden="1" outlineLevel="2">
      <c r="B702">
        <f t="shared" si="548"/>
        <v>13</v>
      </c>
      <c r="C702" s="73" t="str">
        <v>SpareOfferA13</v>
      </c>
      <c r="D702" t="s">
        <v>170</v>
      </c>
      <c r="F702" s="237">
        <f t="shared" si="551"/>
        <v>0</v>
      </c>
      <c r="H702" s="87">
        <v>0</v>
      </c>
      <c r="J702" s="236">
        <f t="shared" si="549"/>
        <v>0</v>
      </c>
      <c r="K702" s="236">
        <f t="shared" si="549"/>
        <v>0</v>
      </c>
      <c r="L702" s="122">
        <f t="shared" si="550"/>
        <v>0</v>
      </c>
    </row>
    <row r="703" spans="2:12" hidden="1" outlineLevel="2">
      <c r="B703">
        <f t="shared" si="548"/>
        <v>14</v>
      </c>
      <c r="C703" s="73" t="str">
        <v>SpareOfferA14</v>
      </c>
      <c r="D703" t="s">
        <v>170</v>
      </c>
      <c r="F703" s="237">
        <f t="shared" si="551"/>
        <v>0</v>
      </c>
      <c r="H703" s="87">
        <v>0</v>
      </c>
      <c r="J703" s="236">
        <f t="shared" si="549"/>
        <v>0</v>
      </c>
      <c r="K703" s="236">
        <f t="shared" si="549"/>
        <v>0</v>
      </c>
      <c r="L703" s="122">
        <f t="shared" si="550"/>
        <v>0</v>
      </c>
    </row>
    <row r="704" spans="2:12" hidden="1" outlineLevel="2">
      <c r="B704">
        <f t="shared" si="548"/>
        <v>15</v>
      </c>
      <c r="C704" s="73" t="str">
        <v>SpareOfferA15</v>
      </c>
      <c r="D704" t="s">
        <v>170</v>
      </c>
      <c r="F704" s="237">
        <f t="shared" si="551"/>
        <v>0</v>
      </c>
      <c r="H704" s="87">
        <v>0</v>
      </c>
      <c r="J704" s="236">
        <f t="shared" si="549"/>
        <v>0</v>
      </c>
      <c r="K704" s="236">
        <f t="shared" si="549"/>
        <v>0</v>
      </c>
      <c r="L704" s="122">
        <f t="shared" si="550"/>
        <v>0</v>
      </c>
    </row>
    <row r="705" spans="2:12" hidden="1" outlineLevel="2">
      <c r="B705">
        <f t="shared" si="548"/>
        <v>16</v>
      </c>
      <c r="C705" s="73" t="str">
        <v>SpareOfferA16</v>
      </c>
      <c r="D705" t="s">
        <v>170</v>
      </c>
      <c r="F705" s="237">
        <f t="shared" si="551"/>
        <v>0</v>
      </c>
      <c r="H705" s="87">
        <v>0</v>
      </c>
      <c r="J705" s="236">
        <f t="shared" si="549"/>
        <v>0</v>
      </c>
      <c r="K705" s="236">
        <f t="shared" si="549"/>
        <v>0</v>
      </c>
      <c r="L705" s="122">
        <f t="shared" si="550"/>
        <v>0</v>
      </c>
    </row>
    <row r="706" spans="2:12" hidden="1" outlineLevel="2">
      <c r="B706">
        <f t="shared" si="548"/>
        <v>17</v>
      </c>
      <c r="C706" s="73" t="str">
        <v>SpareOfferA17</v>
      </c>
      <c r="D706" t="s">
        <v>170</v>
      </c>
      <c r="F706" s="237">
        <f t="shared" si="551"/>
        <v>0</v>
      </c>
      <c r="H706" s="87">
        <v>0</v>
      </c>
      <c r="J706" s="236">
        <f t="shared" si="549"/>
        <v>0</v>
      </c>
      <c r="K706" s="236">
        <f t="shared" si="549"/>
        <v>0</v>
      </c>
      <c r="L706" s="122">
        <f t="shared" si="550"/>
        <v>0</v>
      </c>
    </row>
    <row r="707" spans="2:12" hidden="1" outlineLevel="2">
      <c r="B707">
        <f t="shared" si="548"/>
        <v>18</v>
      </c>
      <c r="C707" s="73" t="str">
        <v>SpareOfferA18</v>
      </c>
      <c r="D707" t="s">
        <v>170</v>
      </c>
      <c r="F707" s="237">
        <f t="shared" si="551"/>
        <v>0</v>
      </c>
      <c r="H707" s="87">
        <v>0</v>
      </c>
      <c r="J707" s="236">
        <f t="shared" si="549"/>
        <v>0</v>
      </c>
      <c r="K707" s="236">
        <f t="shared" si="549"/>
        <v>0</v>
      </c>
      <c r="L707" s="122">
        <f t="shared" si="550"/>
        <v>0</v>
      </c>
    </row>
    <row r="708" spans="2:12" hidden="1" outlineLevel="2">
      <c r="B708">
        <f t="shared" si="548"/>
        <v>19</v>
      </c>
      <c r="C708" s="73" t="str">
        <v>SpareOfferA19</v>
      </c>
      <c r="D708" t="s">
        <v>170</v>
      </c>
      <c r="F708" s="237">
        <f t="shared" si="551"/>
        <v>0</v>
      </c>
      <c r="H708" s="87">
        <v>0</v>
      </c>
      <c r="J708" s="236">
        <f t="shared" si="549"/>
        <v>0</v>
      </c>
      <c r="K708" s="236">
        <f t="shared" si="549"/>
        <v>0</v>
      </c>
      <c r="L708" s="122">
        <f t="shared" si="550"/>
        <v>0</v>
      </c>
    </row>
    <row r="709" spans="2:12" hidden="1" outlineLevel="2">
      <c r="B709">
        <f t="shared" si="548"/>
        <v>20</v>
      </c>
      <c r="C709" s="73" t="str">
        <v>SpareOfferA20</v>
      </c>
      <c r="D709" t="s">
        <v>170</v>
      </c>
      <c r="F709" s="237">
        <f t="shared" si="551"/>
        <v>0</v>
      </c>
      <c r="H709" s="87">
        <v>0</v>
      </c>
      <c r="J709" s="236">
        <f t="shared" si="549"/>
        <v>0</v>
      </c>
      <c r="K709" s="236">
        <f t="shared" si="549"/>
        <v>0</v>
      </c>
      <c r="L709" s="122">
        <f t="shared" si="550"/>
        <v>0</v>
      </c>
    </row>
    <row r="710" spans="2:12" hidden="1" outlineLevel="2">
      <c r="B710">
        <f t="shared" si="548"/>
        <v>21</v>
      </c>
      <c r="C710" s="73" t="str">
        <v>SpareOfferA21</v>
      </c>
      <c r="D710" t="s">
        <v>170</v>
      </c>
      <c r="F710" s="237">
        <f t="shared" si="551"/>
        <v>0</v>
      </c>
      <c r="H710" s="87">
        <v>0</v>
      </c>
      <c r="J710" s="236">
        <f t="shared" ref="J710:K724" si="552">INDEX(per.sub.volumes.by.demand.descriptions,$B710,J$686)</f>
        <v>0</v>
      </c>
      <c r="K710" s="236">
        <f t="shared" si="552"/>
        <v>0</v>
      </c>
      <c r="L710" s="122">
        <f t="shared" si="550"/>
        <v>0</v>
      </c>
    </row>
    <row r="711" spans="2:12" hidden="1" outlineLevel="2">
      <c r="B711">
        <f t="shared" si="548"/>
        <v>22</v>
      </c>
      <c r="C711" s="73" t="str">
        <v>SpareOfferA22</v>
      </c>
      <c r="D711" t="s">
        <v>170</v>
      </c>
      <c r="F711" s="237">
        <f t="shared" si="551"/>
        <v>0</v>
      </c>
      <c r="H711" s="87">
        <v>0</v>
      </c>
      <c r="J711" s="236">
        <f t="shared" si="552"/>
        <v>0</v>
      </c>
      <c r="K711" s="236">
        <f t="shared" si="552"/>
        <v>0</v>
      </c>
      <c r="L711" s="122">
        <f t="shared" si="550"/>
        <v>0</v>
      </c>
    </row>
    <row r="712" spans="2:12" hidden="1" outlineLevel="2">
      <c r="B712">
        <f t="shared" si="548"/>
        <v>23</v>
      </c>
      <c r="C712" s="73" t="str">
        <v>SpareOfferA23</v>
      </c>
      <c r="D712" t="s">
        <v>170</v>
      </c>
      <c r="F712" s="237">
        <f t="shared" si="551"/>
        <v>0</v>
      </c>
      <c r="H712" s="87">
        <v>0</v>
      </c>
      <c r="J712" s="236">
        <f t="shared" si="552"/>
        <v>0</v>
      </c>
      <c r="K712" s="236">
        <f t="shared" si="552"/>
        <v>0</v>
      </c>
      <c r="L712" s="122">
        <f t="shared" si="550"/>
        <v>0</v>
      </c>
    </row>
    <row r="713" spans="2:12" hidden="1" outlineLevel="2">
      <c r="B713">
        <f t="shared" si="548"/>
        <v>24</v>
      </c>
      <c r="C713" s="73" t="str">
        <v>SpareOfferA24</v>
      </c>
      <c r="D713" t="s">
        <v>170</v>
      </c>
      <c r="F713" s="237">
        <f t="shared" si="551"/>
        <v>0</v>
      </c>
      <c r="H713" s="87">
        <v>0</v>
      </c>
      <c r="J713" s="236">
        <f t="shared" si="552"/>
        <v>0</v>
      </c>
      <c r="K713" s="236">
        <f t="shared" si="552"/>
        <v>0</v>
      </c>
      <c r="L713" s="122">
        <f t="shared" si="550"/>
        <v>0</v>
      </c>
    </row>
    <row r="714" spans="2:12" hidden="1" outlineLevel="2">
      <c r="B714">
        <f t="shared" si="548"/>
        <v>25</v>
      </c>
      <c r="C714" s="73" t="str">
        <v>SpareOfferA25</v>
      </c>
      <c r="D714" t="s">
        <v>170</v>
      </c>
      <c r="F714" s="237">
        <f t="shared" si="551"/>
        <v>0</v>
      </c>
      <c r="H714" s="87">
        <v>0</v>
      </c>
      <c r="J714" s="236">
        <f t="shared" si="552"/>
        <v>0</v>
      </c>
      <c r="K714" s="236">
        <f t="shared" si="552"/>
        <v>0</v>
      </c>
      <c r="L714" s="122">
        <f t="shared" si="550"/>
        <v>0</v>
      </c>
    </row>
    <row r="715" spans="2:12" hidden="1" outlineLevel="2">
      <c r="B715">
        <f t="shared" si="548"/>
        <v>26</v>
      </c>
      <c r="C715" s="73" t="str">
        <v>SpareOfferA26</v>
      </c>
      <c r="D715" t="s">
        <v>170</v>
      </c>
      <c r="F715" s="237">
        <f t="shared" si="551"/>
        <v>0</v>
      </c>
      <c r="H715" s="87">
        <v>0</v>
      </c>
      <c r="J715" s="236">
        <f t="shared" si="552"/>
        <v>0</v>
      </c>
      <c r="K715" s="236">
        <f t="shared" si="552"/>
        <v>0</v>
      </c>
      <c r="L715" s="122">
        <f t="shared" si="550"/>
        <v>0</v>
      </c>
    </row>
    <row r="716" spans="2:12" hidden="1" outlineLevel="2">
      <c r="B716">
        <f t="shared" si="548"/>
        <v>27</v>
      </c>
      <c r="C716" s="73" t="str">
        <v>SpareOfferA27</v>
      </c>
      <c r="D716" t="s">
        <v>170</v>
      </c>
      <c r="F716" s="237">
        <f t="shared" si="551"/>
        <v>0</v>
      </c>
      <c r="H716" s="87">
        <v>0</v>
      </c>
      <c r="J716" s="236">
        <f t="shared" si="552"/>
        <v>0</v>
      </c>
      <c r="K716" s="236">
        <f t="shared" si="552"/>
        <v>0</v>
      </c>
      <c r="L716" s="122">
        <f t="shared" si="550"/>
        <v>0</v>
      </c>
    </row>
    <row r="717" spans="2:12" hidden="1" outlineLevel="2">
      <c r="B717">
        <f t="shared" si="548"/>
        <v>28</v>
      </c>
      <c r="C717" s="73" t="str">
        <v>SpareOfferA28</v>
      </c>
      <c r="D717" t="s">
        <v>170</v>
      </c>
      <c r="F717" s="237">
        <f t="shared" si="551"/>
        <v>0</v>
      </c>
      <c r="H717" s="87">
        <v>0</v>
      </c>
      <c r="J717" s="236">
        <f t="shared" si="552"/>
        <v>0</v>
      </c>
      <c r="K717" s="236">
        <f t="shared" si="552"/>
        <v>0</v>
      </c>
      <c r="L717" s="122">
        <f t="shared" si="550"/>
        <v>0</v>
      </c>
    </row>
    <row r="718" spans="2:12" hidden="1" outlineLevel="2">
      <c r="B718">
        <f t="shared" si="548"/>
        <v>29</v>
      </c>
      <c r="C718" s="73" t="str">
        <v>SpareOfferA29</v>
      </c>
      <c r="D718" t="s">
        <v>170</v>
      </c>
      <c r="F718" s="237">
        <f t="shared" si="551"/>
        <v>0</v>
      </c>
      <c r="H718" s="87">
        <v>0</v>
      </c>
      <c r="J718" s="236">
        <f t="shared" si="552"/>
        <v>0</v>
      </c>
      <c r="K718" s="236">
        <f t="shared" si="552"/>
        <v>0</v>
      </c>
      <c r="L718" s="122">
        <f t="shared" si="550"/>
        <v>0</v>
      </c>
    </row>
    <row r="719" spans="2:12" hidden="1" outlineLevel="2">
      <c r="B719">
        <f t="shared" si="548"/>
        <v>30</v>
      </c>
      <c r="C719" s="73" t="str">
        <v>SpareOfferA30</v>
      </c>
      <c r="D719" t="s">
        <v>170</v>
      </c>
      <c r="F719" s="237">
        <f t="shared" si="551"/>
        <v>0</v>
      </c>
      <c r="H719" s="87">
        <v>0</v>
      </c>
      <c r="J719" s="236">
        <f t="shared" si="552"/>
        <v>0</v>
      </c>
      <c r="K719" s="236">
        <f t="shared" si="552"/>
        <v>0</v>
      </c>
      <c r="L719" s="122">
        <f t="shared" si="550"/>
        <v>0</v>
      </c>
    </row>
    <row r="720" spans="2:12" hidden="1" outlineLevel="2">
      <c r="B720">
        <f t="shared" si="548"/>
        <v>31</v>
      </c>
      <c r="C720" s="73" t="str">
        <v>SpareOfferA31</v>
      </c>
      <c r="D720" t="s">
        <v>170</v>
      </c>
      <c r="F720" s="237">
        <f t="shared" si="551"/>
        <v>0</v>
      </c>
      <c r="H720" s="87">
        <v>0</v>
      </c>
      <c r="J720" s="236">
        <f t="shared" si="552"/>
        <v>0</v>
      </c>
      <c r="K720" s="236">
        <f t="shared" si="552"/>
        <v>0</v>
      </c>
      <c r="L720" s="122">
        <f t="shared" si="550"/>
        <v>0</v>
      </c>
    </row>
    <row r="721" spans="1:12" hidden="1" outlineLevel="2">
      <c r="B721">
        <f t="shared" si="548"/>
        <v>32</v>
      </c>
      <c r="C721" s="73" t="str">
        <v>SpareOfferA32</v>
      </c>
      <c r="D721" t="s">
        <v>170</v>
      </c>
      <c r="F721" s="237">
        <f t="shared" si="551"/>
        <v>0</v>
      </c>
      <c r="H721" s="87">
        <v>0</v>
      </c>
      <c r="J721" s="236">
        <f t="shared" si="552"/>
        <v>0</v>
      </c>
      <c r="K721" s="236">
        <f t="shared" si="552"/>
        <v>0</v>
      </c>
      <c r="L721" s="122">
        <f t="shared" si="550"/>
        <v>0</v>
      </c>
    </row>
    <row r="722" spans="1:12" hidden="1" outlineLevel="2">
      <c r="B722">
        <f t="shared" si="548"/>
        <v>33</v>
      </c>
      <c r="C722" s="73" t="str">
        <v>SpareOfferA33</v>
      </c>
      <c r="D722" t="s">
        <v>170</v>
      </c>
      <c r="F722" s="237">
        <f t="shared" si="551"/>
        <v>0</v>
      </c>
      <c r="H722" s="87">
        <v>0</v>
      </c>
      <c r="J722" s="236">
        <f t="shared" si="552"/>
        <v>0</v>
      </c>
      <c r="K722" s="236">
        <f t="shared" si="552"/>
        <v>0</v>
      </c>
      <c r="L722" s="122">
        <f t="shared" si="550"/>
        <v>0</v>
      </c>
    </row>
    <row r="723" spans="1:12" hidden="1" outlineLevel="2">
      <c r="B723">
        <f t="shared" si="548"/>
        <v>34</v>
      </c>
      <c r="C723" s="73" t="str">
        <v>SpareOfferA34</v>
      </c>
      <c r="D723" t="s">
        <v>170</v>
      </c>
      <c r="F723" s="237">
        <f t="shared" si="551"/>
        <v>0</v>
      </c>
      <c r="H723" s="87">
        <v>0</v>
      </c>
      <c r="J723" s="236">
        <f t="shared" si="552"/>
        <v>0</v>
      </c>
      <c r="K723" s="236">
        <f t="shared" si="552"/>
        <v>0</v>
      </c>
      <c r="L723" s="122">
        <f t="shared" si="550"/>
        <v>0</v>
      </c>
    </row>
    <row r="724" spans="1:12" outlineLevel="1" collapsed="1">
      <c r="B724">
        <f t="shared" si="548"/>
        <v>35</v>
      </c>
      <c r="C724" s="73" t="str">
        <v>SpareOfferA35</v>
      </c>
      <c r="D724" t="s">
        <v>170</v>
      </c>
      <c r="F724" s="237">
        <f t="shared" si="551"/>
        <v>0</v>
      </c>
      <c r="H724" s="87">
        <v>0</v>
      </c>
      <c r="J724" s="236">
        <f t="shared" si="552"/>
        <v>0</v>
      </c>
      <c r="K724" s="236">
        <f t="shared" si="552"/>
        <v>0</v>
      </c>
      <c r="L724" s="122">
        <f t="shared" si="550"/>
        <v>0</v>
      </c>
    </row>
    <row r="726" spans="1:12" s="220" customFormat="1">
      <c r="A726" s="220">
        <v>2</v>
      </c>
      <c r="B726" s="221" t="str">
        <f>INDEX(segments,A726)</f>
        <v>Business</v>
      </c>
      <c r="C726" s="207"/>
    </row>
    <row r="727" spans="1:12" outlineLevel="1"/>
    <row r="728" spans="1:12" ht="23" outlineLevel="1">
      <c r="B728" s="91" t="s">
        <v>341</v>
      </c>
      <c r="J728" s="1" t="str">
        <f t="array" ref="J728:L728">options.selected.VAS</f>
        <v>VAS minutes</v>
      </c>
      <c r="K728" s="95" t="str">
        <v>VAS BankID</v>
      </c>
      <c r="L728" s="95" t="str">
        <v>Other VAS messages</v>
      </c>
    </row>
    <row r="729" spans="1:12" outlineLevel="1">
      <c r="C729" t="s">
        <v>371</v>
      </c>
      <c r="D729" t="s">
        <v>282</v>
      </c>
      <c r="J729" s="239">
        <f t="array" ref="J729:L729">VAS.IC</f>
        <v>0</v>
      </c>
      <c r="K729" s="239">
        <v>0</v>
      </c>
      <c r="L729" s="239">
        <v>0</v>
      </c>
    </row>
    <row r="730" spans="1:12" outlineLevel="1"/>
    <row r="731" spans="1:12" outlineLevel="1">
      <c r="J731" s="213" t="s">
        <v>532</v>
      </c>
      <c r="K731" s="213" t="s">
        <v>532</v>
      </c>
      <c r="L731" s="213" t="s">
        <v>198</v>
      </c>
    </row>
    <row r="732" spans="1:12" outlineLevel="1">
      <c r="J732">
        <f>MATCH(J734,demand.descriptions.short,0)</f>
        <v>7</v>
      </c>
      <c r="K732">
        <f>MATCH(K734,demand.descriptions.short,0)</f>
        <v>8</v>
      </c>
      <c r="L732" s="238">
        <f>MATCH(L734,revenue.descriptions.short,0)</f>
        <v>13</v>
      </c>
    </row>
    <row r="733" spans="1:12" outlineLevel="1">
      <c r="B733" s="91" t="s">
        <v>374</v>
      </c>
      <c r="J733" s="66" t="s">
        <v>271</v>
      </c>
      <c r="K733" s="66"/>
      <c r="L733" s="66"/>
    </row>
    <row r="734" spans="1:12" ht="23" outlineLevel="1">
      <c r="F734" s="127" t="s">
        <v>190</v>
      </c>
      <c r="H734" s="119" t="s">
        <v>223</v>
      </c>
      <c r="J734" s="1" t="str">
        <f t="array" ref="J734:L734">options.selected.VAS</f>
        <v>VAS minutes</v>
      </c>
      <c r="K734" s="95" t="str">
        <v>VAS BankID</v>
      </c>
      <c r="L734" s="95" t="str">
        <v>Other VAS messages</v>
      </c>
    </row>
    <row r="735" spans="1:12" outlineLevel="1">
      <c r="C735" s="91" t="s">
        <v>89</v>
      </c>
      <c r="D735" t="s">
        <v>170</v>
      </c>
      <c r="F735" s="233">
        <f>SUMPRODUCT(F736:F770,$H736:$H770)</f>
        <v>0</v>
      </c>
      <c r="J735" s="106">
        <f>SUMPRODUCT(J736:J770,$H736:$H770)</f>
        <v>0</v>
      </c>
      <c r="K735" s="106">
        <f>SUMPRODUCT(K736:K770,$H736:$H770)</f>
        <v>0</v>
      </c>
      <c r="L735" s="106">
        <f>SUMPRODUCT(L736:L770,$H736:$H770)</f>
        <v>0</v>
      </c>
    </row>
    <row r="736" spans="1:12" outlineLevel="1">
      <c r="B736">
        <f t="shared" ref="B736:B770" si="553">MATCH(C736,offers.segment.all,0)</f>
        <v>36</v>
      </c>
      <c r="C736" s="73" t="str">
        <f t="array" ref="C736:C770">offers.segment.2</f>
        <v>SpareOfferB1</v>
      </c>
      <c r="D736" t="s">
        <v>170</v>
      </c>
      <c r="F736" s="237">
        <f>SUMPRODUCT(J736:L736,$J$729:$L$729)</f>
        <v>0</v>
      </c>
      <c r="H736" s="87">
        <f t="array" ref="H736:H770">subscription.split.segment.2</f>
        <v>0</v>
      </c>
      <c r="J736" s="236">
        <f t="shared" ref="J736:K755" si="554">INDEX(per.sub.volumes.by.demand.descriptions,$B736,J$732)</f>
        <v>0</v>
      </c>
      <c r="K736" s="236">
        <f t="shared" si="554"/>
        <v>0</v>
      </c>
      <c r="L736" s="122">
        <f t="shared" ref="L736:L770" si="555">INDEX(per.sub.revenues.by.revenues.descriptions,$B736,L$732)</f>
        <v>0</v>
      </c>
    </row>
    <row r="737" spans="2:12" hidden="1" outlineLevel="2">
      <c r="B737">
        <f t="shared" si="553"/>
        <v>37</v>
      </c>
      <c r="C737" s="73" t="str">
        <v>SpareOfferB2</v>
      </c>
      <c r="D737" t="s">
        <v>170</v>
      </c>
      <c r="F737" s="237">
        <f t="shared" ref="F737:F770" si="556">SUMPRODUCT(J737:L737,$J$729:$L$729)</f>
        <v>0</v>
      </c>
      <c r="H737" s="87">
        <v>0</v>
      </c>
      <c r="J737" s="236">
        <f t="shared" si="554"/>
        <v>0</v>
      </c>
      <c r="K737" s="236">
        <f t="shared" si="554"/>
        <v>0</v>
      </c>
      <c r="L737" s="122">
        <f t="shared" si="555"/>
        <v>0</v>
      </c>
    </row>
    <row r="738" spans="2:12" hidden="1" outlineLevel="2">
      <c r="B738">
        <f t="shared" si="553"/>
        <v>38</v>
      </c>
      <c r="C738" s="73" t="str">
        <v>SpareOfferB3</v>
      </c>
      <c r="D738" t="s">
        <v>170</v>
      </c>
      <c r="F738" s="237">
        <f t="shared" si="556"/>
        <v>0</v>
      </c>
      <c r="H738" s="87">
        <v>0</v>
      </c>
      <c r="J738" s="236">
        <f t="shared" si="554"/>
        <v>0</v>
      </c>
      <c r="K738" s="236">
        <f t="shared" si="554"/>
        <v>0</v>
      </c>
      <c r="L738" s="122">
        <f t="shared" si="555"/>
        <v>0</v>
      </c>
    </row>
    <row r="739" spans="2:12" hidden="1" outlineLevel="2">
      <c r="B739">
        <f t="shared" si="553"/>
        <v>39</v>
      </c>
      <c r="C739" s="73" t="str">
        <v>SpareOfferB4</v>
      </c>
      <c r="D739" t="s">
        <v>170</v>
      </c>
      <c r="F739" s="237">
        <f t="shared" si="556"/>
        <v>0</v>
      </c>
      <c r="H739" s="87">
        <v>0</v>
      </c>
      <c r="J739" s="236">
        <f t="shared" si="554"/>
        <v>0</v>
      </c>
      <c r="K739" s="236">
        <f t="shared" si="554"/>
        <v>0</v>
      </c>
      <c r="L739" s="122">
        <f t="shared" si="555"/>
        <v>0</v>
      </c>
    </row>
    <row r="740" spans="2:12" hidden="1" outlineLevel="2">
      <c r="B740">
        <f t="shared" si="553"/>
        <v>40</v>
      </c>
      <c r="C740" s="73" t="str">
        <v>SpareOfferB5</v>
      </c>
      <c r="D740" t="s">
        <v>170</v>
      </c>
      <c r="F740" s="237">
        <f t="shared" si="556"/>
        <v>0</v>
      </c>
      <c r="H740" s="87">
        <v>0</v>
      </c>
      <c r="J740" s="236">
        <f t="shared" si="554"/>
        <v>0</v>
      </c>
      <c r="K740" s="236">
        <f t="shared" si="554"/>
        <v>0</v>
      </c>
      <c r="L740" s="122">
        <f t="shared" si="555"/>
        <v>0</v>
      </c>
    </row>
    <row r="741" spans="2:12" hidden="1" outlineLevel="2">
      <c r="B741">
        <f t="shared" si="553"/>
        <v>41</v>
      </c>
      <c r="C741" s="73" t="str">
        <v>SpareOfferB6</v>
      </c>
      <c r="D741" t="s">
        <v>170</v>
      </c>
      <c r="F741" s="237">
        <f t="shared" si="556"/>
        <v>0</v>
      </c>
      <c r="H741" s="87">
        <v>0</v>
      </c>
      <c r="J741" s="236">
        <f t="shared" si="554"/>
        <v>0</v>
      </c>
      <c r="K741" s="236">
        <f t="shared" si="554"/>
        <v>0</v>
      </c>
      <c r="L741" s="122">
        <f t="shared" si="555"/>
        <v>0</v>
      </c>
    </row>
    <row r="742" spans="2:12" hidden="1" outlineLevel="2">
      <c r="B742">
        <f t="shared" si="553"/>
        <v>42</v>
      </c>
      <c r="C742" s="73" t="str">
        <v>SpareOfferB7</v>
      </c>
      <c r="D742" t="s">
        <v>170</v>
      </c>
      <c r="F742" s="237">
        <f t="shared" si="556"/>
        <v>0</v>
      </c>
      <c r="H742" s="87">
        <v>0</v>
      </c>
      <c r="J742" s="236">
        <f t="shared" si="554"/>
        <v>0</v>
      </c>
      <c r="K742" s="236">
        <f t="shared" si="554"/>
        <v>0</v>
      </c>
      <c r="L742" s="122">
        <f t="shared" si="555"/>
        <v>0</v>
      </c>
    </row>
    <row r="743" spans="2:12" hidden="1" outlineLevel="2">
      <c r="B743">
        <f t="shared" si="553"/>
        <v>43</v>
      </c>
      <c r="C743" s="73" t="str">
        <v>SpareOfferB8</v>
      </c>
      <c r="D743" t="s">
        <v>170</v>
      </c>
      <c r="F743" s="237">
        <f t="shared" si="556"/>
        <v>0</v>
      </c>
      <c r="H743" s="87">
        <v>0</v>
      </c>
      <c r="J743" s="236">
        <f t="shared" si="554"/>
        <v>0</v>
      </c>
      <c r="K743" s="236">
        <f t="shared" si="554"/>
        <v>0</v>
      </c>
      <c r="L743" s="122">
        <f t="shared" si="555"/>
        <v>0</v>
      </c>
    </row>
    <row r="744" spans="2:12" hidden="1" outlineLevel="2">
      <c r="B744">
        <f t="shared" si="553"/>
        <v>44</v>
      </c>
      <c r="C744" s="73" t="str">
        <v>SpareOfferB9</v>
      </c>
      <c r="D744" t="s">
        <v>170</v>
      </c>
      <c r="F744" s="237">
        <f t="shared" si="556"/>
        <v>0</v>
      </c>
      <c r="H744" s="87">
        <v>0</v>
      </c>
      <c r="J744" s="236">
        <f t="shared" si="554"/>
        <v>0</v>
      </c>
      <c r="K744" s="236">
        <f t="shared" si="554"/>
        <v>0</v>
      </c>
      <c r="L744" s="122">
        <f t="shared" si="555"/>
        <v>0</v>
      </c>
    </row>
    <row r="745" spans="2:12" hidden="1" outlineLevel="2">
      <c r="B745">
        <f t="shared" si="553"/>
        <v>45</v>
      </c>
      <c r="C745" s="73" t="str">
        <v>SpareOfferB10</v>
      </c>
      <c r="D745" t="s">
        <v>170</v>
      </c>
      <c r="F745" s="237">
        <f t="shared" si="556"/>
        <v>0</v>
      </c>
      <c r="H745" s="87">
        <v>0</v>
      </c>
      <c r="J745" s="236">
        <f t="shared" si="554"/>
        <v>0</v>
      </c>
      <c r="K745" s="236">
        <f t="shared" si="554"/>
        <v>0</v>
      </c>
      <c r="L745" s="122">
        <f t="shared" si="555"/>
        <v>0</v>
      </c>
    </row>
    <row r="746" spans="2:12" hidden="1" outlineLevel="2">
      <c r="B746">
        <f t="shared" si="553"/>
        <v>46</v>
      </c>
      <c r="C746" s="73" t="str">
        <v>SpareOfferB11</v>
      </c>
      <c r="D746" t="s">
        <v>170</v>
      </c>
      <c r="F746" s="237">
        <f t="shared" si="556"/>
        <v>0</v>
      </c>
      <c r="H746" s="87">
        <v>0</v>
      </c>
      <c r="J746" s="236">
        <f t="shared" si="554"/>
        <v>0</v>
      </c>
      <c r="K746" s="236">
        <f t="shared" si="554"/>
        <v>0</v>
      </c>
      <c r="L746" s="122">
        <f t="shared" si="555"/>
        <v>0</v>
      </c>
    </row>
    <row r="747" spans="2:12" hidden="1" outlineLevel="2">
      <c r="B747">
        <f t="shared" si="553"/>
        <v>47</v>
      </c>
      <c r="C747" s="73" t="str">
        <v>SpareOfferB12</v>
      </c>
      <c r="D747" t="s">
        <v>170</v>
      </c>
      <c r="F747" s="237">
        <f t="shared" si="556"/>
        <v>0</v>
      </c>
      <c r="H747" s="87">
        <v>0</v>
      </c>
      <c r="J747" s="236">
        <f t="shared" si="554"/>
        <v>0</v>
      </c>
      <c r="K747" s="236">
        <f t="shared" si="554"/>
        <v>0</v>
      </c>
      <c r="L747" s="122">
        <f t="shared" si="555"/>
        <v>0</v>
      </c>
    </row>
    <row r="748" spans="2:12" hidden="1" outlineLevel="2">
      <c r="B748">
        <f t="shared" si="553"/>
        <v>48</v>
      </c>
      <c r="C748" s="73" t="str">
        <v>SpareOfferB13</v>
      </c>
      <c r="D748" t="s">
        <v>170</v>
      </c>
      <c r="F748" s="237">
        <f t="shared" si="556"/>
        <v>0</v>
      </c>
      <c r="H748" s="87">
        <v>0</v>
      </c>
      <c r="J748" s="236">
        <f t="shared" si="554"/>
        <v>0</v>
      </c>
      <c r="K748" s="236">
        <f t="shared" si="554"/>
        <v>0</v>
      </c>
      <c r="L748" s="122">
        <f t="shared" si="555"/>
        <v>0</v>
      </c>
    </row>
    <row r="749" spans="2:12" hidden="1" outlineLevel="2">
      <c r="B749">
        <f t="shared" si="553"/>
        <v>49</v>
      </c>
      <c r="C749" s="73" t="str">
        <v>SpareOfferB14</v>
      </c>
      <c r="D749" t="s">
        <v>170</v>
      </c>
      <c r="F749" s="237">
        <f t="shared" si="556"/>
        <v>0</v>
      </c>
      <c r="H749" s="87">
        <v>0</v>
      </c>
      <c r="J749" s="236">
        <f t="shared" si="554"/>
        <v>0</v>
      </c>
      <c r="K749" s="236">
        <f t="shared" si="554"/>
        <v>0</v>
      </c>
      <c r="L749" s="122">
        <f t="shared" si="555"/>
        <v>0</v>
      </c>
    </row>
    <row r="750" spans="2:12" hidden="1" outlineLevel="2">
      <c r="B750">
        <f t="shared" si="553"/>
        <v>50</v>
      </c>
      <c r="C750" s="73" t="str">
        <v>SpareOfferB15</v>
      </c>
      <c r="D750" t="s">
        <v>170</v>
      </c>
      <c r="F750" s="237">
        <f t="shared" si="556"/>
        <v>0</v>
      </c>
      <c r="H750" s="87">
        <v>0</v>
      </c>
      <c r="J750" s="236">
        <f t="shared" si="554"/>
        <v>0</v>
      </c>
      <c r="K750" s="236">
        <f t="shared" si="554"/>
        <v>0</v>
      </c>
      <c r="L750" s="122">
        <f t="shared" si="555"/>
        <v>0</v>
      </c>
    </row>
    <row r="751" spans="2:12" hidden="1" outlineLevel="2">
      <c r="B751">
        <f t="shared" si="553"/>
        <v>51</v>
      </c>
      <c r="C751" s="73" t="str">
        <v>SpareOfferB16</v>
      </c>
      <c r="D751" t="s">
        <v>170</v>
      </c>
      <c r="F751" s="237">
        <f t="shared" si="556"/>
        <v>0</v>
      </c>
      <c r="H751" s="87">
        <v>0</v>
      </c>
      <c r="J751" s="236">
        <f t="shared" si="554"/>
        <v>0</v>
      </c>
      <c r="K751" s="236">
        <f t="shared" si="554"/>
        <v>0</v>
      </c>
      <c r="L751" s="122">
        <f t="shared" si="555"/>
        <v>0</v>
      </c>
    </row>
    <row r="752" spans="2:12" hidden="1" outlineLevel="2">
      <c r="B752">
        <f t="shared" si="553"/>
        <v>52</v>
      </c>
      <c r="C752" s="73" t="str">
        <v>SpareOfferB17</v>
      </c>
      <c r="D752" t="s">
        <v>170</v>
      </c>
      <c r="F752" s="237">
        <f t="shared" si="556"/>
        <v>0</v>
      </c>
      <c r="H752" s="87">
        <v>0</v>
      </c>
      <c r="J752" s="236">
        <f t="shared" si="554"/>
        <v>0</v>
      </c>
      <c r="K752" s="236">
        <f t="shared" si="554"/>
        <v>0</v>
      </c>
      <c r="L752" s="122">
        <f t="shared" si="555"/>
        <v>0</v>
      </c>
    </row>
    <row r="753" spans="2:12" hidden="1" outlineLevel="2">
      <c r="B753">
        <f t="shared" si="553"/>
        <v>53</v>
      </c>
      <c r="C753" s="73" t="str">
        <v>SpareOfferB18</v>
      </c>
      <c r="D753" t="s">
        <v>170</v>
      </c>
      <c r="F753" s="237">
        <f t="shared" si="556"/>
        <v>0</v>
      </c>
      <c r="H753" s="87">
        <v>0</v>
      </c>
      <c r="J753" s="236">
        <f t="shared" si="554"/>
        <v>0</v>
      </c>
      <c r="K753" s="236">
        <f t="shared" si="554"/>
        <v>0</v>
      </c>
      <c r="L753" s="122">
        <f t="shared" si="555"/>
        <v>0</v>
      </c>
    </row>
    <row r="754" spans="2:12" hidden="1" outlineLevel="2">
      <c r="B754">
        <f t="shared" si="553"/>
        <v>54</v>
      </c>
      <c r="C754" s="73" t="str">
        <v>SpareOfferB19</v>
      </c>
      <c r="D754" t="s">
        <v>170</v>
      </c>
      <c r="F754" s="237">
        <f t="shared" si="556"/>
        <v>0</v>
      </c>
      <c r="H754" s="87">
        <v>0</v>
      </c>
      <c r="J754" s="236">
        <f t="shared" si="554"/>
        <v>0</v>
      </c>
      <c r="K754" s="236">
        <f t="shared" si="554"/>
        <v>0</v>
      </c>
      <c r="L754" s="122">
        <f t="shared" si="555"/>
        <v>0</v>
      </c>
    </row>
    <row r="755" spans="2:12" hidden="1" outlineLevel="2">
      <c r="B755">
        <f t="shared" si="553"/>
        <v>55</v>
      </c>
      <c r="C755" s="73" t="str">
        <v>SpareOfferB20</v>
      </c>
      <c r="D755" t="s">
        <v>170</v>
      </c>
      <c r="F755" s="237">
        <f t="shared" si="556"/>
        <v>0</v>
      </c>
      <c r="H755" s="87">
        <v>0</v>
      </c>
      <c r="J755" s="236">
        <f t="shared" si="554"/>
        <v>0</v>
      </c>
      <c r="K755" s="236">
        <f t="shared" si="554"/>
        <v>0</v>
      </c>
      <c r="L755" s="122">
        <f t="shared" si="555"/>
        <v>0</v>
      </c>
    </row>
    <row r="756" spans="2:12" hidden="1" outlineLevel="2">
      <c r="B756">
        <f t="shared" si="553"/>
        <v>56</v>
      </c>
      <c r="C756" s="73" t="str">
        <v>SpareOfferB21</v>
      </c>
      <c r="D756" t="s">
        <v>170</v>
      </c>
      <c r="F756" s="237">
        <f t="shared" si="556"/>
        <v>0</v>
      </c>
      <c r="H756" s="87">
        <v>0</v>
      </c>
      <c r="J756" s="236">
        <f t="shared" ref="J756:K770" si="557">INDEX(per.sub.volumes.by.demand.descriptions,$B756,J$732)</f>
        <v>0</v>
      </c>
      <c r="K756" s="236">
        <f t="shared" si="557"/>
        <v>0</v>
      </c>
      <c r="L756" s="122">
        <f t="shared" si="555"/>
        <v>0</v>
      </c>
    </row>
    <row r="757" spans="2:12" hidden="1" outlineLevel="2">
      <c r="B757">
        <f t="shared" si="553"/>
        <v>57</v>
      </c>
      <c r="C757" s="73" t="str">
        <v>SpareOfferB22</v>
      </c>
      <c r="D757" t="s">
        <v>170</v>
      </c>
      <c r="F757" s="237">
        <f t="shared" si="556"/>
        <v>0</v>
      </c>
      <c r="H757" s="87">
        <v>0</v>
      </c>
      <c r="J757" s="236">
        <f t="shared" si="557"/>
        <v>0</v>
      </c>
      <c r="K757" s="236">
        <f t="shared" si="557"/>
        <v>0</v>
      </c>
      <c r="L757" s="122">
        <f t="shared" si="555"/>
        <v>0</v>
      </c>
    </row>
    <row r="758" spans="2:12" hidden="1" outlineLevel="2">
      <c r="B758">
        <f t="shared" si="553"/>
        <v>58</v>
      </c>
      <c r="C758" s="73" t="str">
        <v>SpareOfferB23</v>
      </c>
      <c r="D758" t="s">
        <v>170</v>
      </c>
      <c r="F758" s="237">
        <f t="shared" si="556"/>
        <v>0</v>
      </c>
      <c r="H758" s="87">
        <v>0</v>
      </c>
      <c r="J758" s="236">
        <f t="shared" si="557"/>
        <v>0</v>
      </c>
      <c r="K758" s="236">
        <f t="shared" si="557"/>
        <v>0</v>
      </c>
      <c r="L758" s="122">
        <f t="shared" si="555"/>
        <v>0</v>
      </c>
    </row>
    <row r="759" spans="2:12" hidden="1" outlineLevel="2">
      <c r="B759">
        <f t="shared" si="553"/>
        <v>59</v>
      </c>
      <c r="C759" s="73" t="str">
        <v>SpareOfferB24</v>
      </c>
      <c r="D759" t="s">
        <v>170</v>
      </c>
      <c r="F759" s="237">
        <f t="shared" si="556"/>
        <v>0</v>
      </c>
      <c r="H759" s="87">
        <v>0</v>
      </c>
      <c r="J759" s="236">
        <f t="shared" si="557"/>
        <v>0</v>
      </c>
      <c r="K759" s="236">
        <f t="shared" si="557"/>
        <v>0</v>
      </c>
      <c r="L759" s="122">
        <f t="shared" si="555"/>
        <v>0</v>
      </c>
    </row>
    <row r="760" spans="2:12" hidden="1" outlineLevel="2">
      <c r="B760">
        <f t="shared" si="553"/>
        <v>60</v>
      </c>
      <c r="C760" s="73" t="str">
        <v>SpareOfferB25</v>
      </c>
      <c r="D760" t="s">
        <v>170</v>
      </c>
      <c r="F760" s="237">
        <f t="shared" si="556"/>
        <v>0</v>
      </c>
      <c r="H760" s="87">
        <v>0</v>
      </c>
      <c r="J760" s="236">
        <f t="shared" si="557"/>
        <v>0</v>
      </c>
      <c r="K760" s="236">
        <f t="shared" si="557"/>
        <v>0</v>
      </c>
      <c r="L760" s="122">
        <f t="shared" si="555"/>
        <v>0</v>
      </c>
    </row>
    <row r="761" spans="2:12" hidden="1" outlineLevel="2">
      <c r="B761">
        <f t="shared" si="553"/>
        <v>61</v>
      </c>
      <c r="C761" s="73" t="str">
        <v>SpareOfferB26</v>
      </c>
      <c r="D761" t="s">
        <v>170</v>
      </c>
      <c r="F761" s="237">
        <f t="shared" si="556"/>
        <v>0</v>
      </c>
      <c r="H761" s="87">
        <v>0</v>
      </c>
      <c r="J761" s="236">
        <f t="shared" si="557"/>
        <v>0</v>
      </c>
      <c r="K761" s="236">
        <f t="shared" si="557"/>
        <v>0</v>
      </c>
      <c r="L761" s="122">
        <f t="shared" si="555"/>
        <v>0</v>
      </c>
    </row>
    <row r="762" spans="2:12" hidden="1" outlineLevel="2">
      <c r="B762">
        <f t="shared" si="553"/>
        <v>62</v>
      </c>
      <c r="C762" s="73" t="str">
        <v>SpareOfferB27</v>
      </c>
      <c r="D762" t="s">
        <v>170</v>
      </c>
      <c r="F762" s="237">
        <f t="shared" si="556"/>
        <v>0</v>
      </c>
      <c r="H762" s="87">
        <v>0</v>
      </c>
      <c r="J762" s="236">
        <f t="shared" si="557"/>
        <v>0</v>
      </c>
      <c r="K762" s="236">
        <f t="shared" si="557"/>
        <v>0</v>
      </c>
      <c r="L762" s="122">
        <f t="shared" si="555"/>
        <v>0</v>
      </c>
    </row>
    <row r="763" spans="2:12" hidden="1" outlineLevel="2">
      <c r="B763">
        <f t="shared" si="553"/>
        <v>63</v>
      </c>
      <c r="C763" s="73" t="str">
        <v>SpareOfferB28</v>
      </c>
      <c r="D763" t="s">
        <v>170</v>
      </c>
      <c r="F763" s="237">
        <f t="shared" si="556"/>
        <v>0</v>
      </c>
      <c r="H763" s="87">
        <v>0</v>
      </c>
      <c r="J763" s="236">
        <f t="shared" si="557"/>
        <v>0</v>
      </c>
      <c r="K763" s="236">
        <f t="shared" si="557"/>
        <v>0</v>
      </c>
      <c r="L763" s="122">
        <f t="shared" si="555"/>
        <v>0</v>
      </c>
    </row>
    <row r="764" spans="2:12" hidden="1" outlineLevel="2">
      <c r="B764">
        <f t="shared" si="553"/>
        <v>64</v>
      </c>
      <c r="C764" s="73" t="str">
        <v>SpareOfferB29</v>
      </c>
      <c r="D764" t="s">
        <v>170</v>
      </c>
      <c r="F764" s="237">
        <f t="shared" si="556"/>
        <v>0</v>
      </c>
      <c r="H764" s="87">
        <v>0</v>
      </c>
      <c r="J764" s="236">
        <f t="shared" si="557"/>
        <v>0</v>
      </c>
      <c r="K764" s="236">
        <f t="shared" si="557"/>
        <v>0</v>
      </c>
      <c r="L764" s="122">
        <f t="shared" si="555"/>
        <v>0</v>
      </c>
    </row>
    <row r="765" spans="2:12" hidden="1" outlineLevel="2">
      <c r="B765">
        <f t="shared" si="553"/>
        <v>65</v>
      </c>
      <c r="C765" s="73" t="str">
        <v>SpareOfferB30</v>
      </c>
      <c r="D765" t="s">
        <v>170</v>
      </c>
      <c r="F765" s="237">
        <f t="shared" si="556"/>
        <v>0</v>
      </c>
      <c r="H765" s="87">
        <v>0</v>
      </c>
      <c r="J765" s="236">
        <f t="shared" si="557"/>
        <v>0</v>
      </c>
      <c r="K765" s="236">
        <f t="shared" si="557"/>
        <v>0</v>
      </c>
      <c r="L765" s="122">
        <f t="shared" si="555"/>
        <v>0</v>
      </c>
    </row>
    <row r="766" spans="2:12" hidden="1" outlineLevel="2">
      <c r="B766">
        <f t="shared" si="553"/>
        <v>66</v>
      </c>
      <c r="C766" s="73" t="str">
        <v>SpareOfferB31</v>
      </c>
      <c r="D766" t="s">
        <v>170</v>
      </c>
      <c r="F766" s="237">
        <f t="shared" si="556"/>
        <v>0</v>
      </c>
      <c r="H766" s="87">
        <v>0</v>
      </c>
      <c r="J766" s="236">
        <f t="shared" si="557"/>
        <v>0</v>
      </c>
      <c r="K766" s="236">
        <f t="shared" si="557"/>
        <v>0</v>
      </c>
      <c r="L766" s="122">
        <f t="shared" si="555"/>
        <v>0</v>
      </c>
    </row>
    <row r="767" spans="2:12" hidden="1" outlineLevel="2">
      <c r="B767">
        <f t="shared" si="553"/>
        <v>67</v>
      </c>
      <c r="C767" s="73" t="str">
        <v>SpareOfferB32</v>
      </c>
      <c r="D767" t="s">
        <v>170</v>
      </c>
      <c r="F767" s="237">
        <f t="shared" si="556"/>
        <v>0</v>
      </c>
      <c r="H767" s="87">
        <v>0</v>
      </c>
      <c r="J767" s="236">
        <f t="shared" si="557"/>
        <v>0</v>
      </c>
      <c r="K767" s="236">
        <f t="shared" si="557"/>
        <v>0</v>
      </c>
      <c r="L767" s="122">
        <f t="shared" si="555"/>
        <v>0</v>
      </c>
    </row>
    <row r="768" spans="2:12" hidden="1" outlineLevel="2">
      <c r="B768">
        <f t="shared" si="553"/>
        <v>68</v>
      </c>
      <c r="C768" s="73" t="str">
        <v>SpareOfferB33</v>
      </c>
      <c r="D768" t="s">
        <v>170</v>
      </c>
      <c r="F768" s="237">
        <f t="shared" si="556"/>
        <v>0</v>
      </c>
      <c r="H768" s="87">
        <v>0</v>
      </c>
      <c r="J768" s="236">
        <f t="shared" si="557"/>
        <v>0</v>
      </c>
      <c r="K768" s="236">
        <f t="shared" si="557"/>
        <v>0</v>
      </c>
      <c r="L768" s="122">
        <f t="shared" si="555"/>
        <v>0</v>
      </c>
    </row>
    <row r="769" spans="1:12" hidden="1" outlineLevel="2">
      <c r="B769">
        <f t="shared" si="553"/>
        <v>69</v>
      </c>
      <c r="C769" s="73" t="str">
        <v>SpareOfferB34</v>
      </c>
      <c r="D769" t="s">
        <v>170</v>
      </c>
      <c r="F769" s="237">
        <f t="shared" si="556"/>
        <v>0</v>
      </c>
      <c r="H769" s="87">
        <v>0</v>
      </c>
      <c r="J769" s="236">
        <f t="shared" si="557"/>
        <v>0</v>
      </c>
      <c r="K769" s="236">
        <f t="shared" si="557"/>
        <v>0</v>
      </c>
      <c r="L769" s="122">
        <f t="shared" si="555"/>
        <v>0</v>
      </c>
    </row>
    <row r="770" spans="1:12" outlineLevel="1" collapsed="1">
      <c r="B770">
        <f t="shared" si="553"/>
        <v>70</v>
      </c>
      <c r="C770" s="73" t="str">
        <v>SpareOfferB35</v>
      </c>
      <c r="D770" t="s">
        <v>170</v>
      </c>
      <c r="F770" s="237">
        <f t="shared" si="556"/>
        <v>0</v>
      </c>
      <c r="H770" s="87">
        <v>0</v>
      </c>
      <c r="J770" s="236">
        <f t="shared" si="557"/>
        <v>0</v>
      </c>
      <c r="K770" s="236">
        <f t="shared" si="557"/>
        <v>0</v>
      </c>
      <c r="L770" s="122">
        <f t="shared" si="555"/>
        <v>0</v>
      </c>
    </row>
    <row r="772" spans="1:12" s="220" customFormat="1">
      <c r="A772" s="220">
        <v>3</v>
      </c>
      <c r="B772" s="221" t="str">
        <f>INDEX(segments,A772)</f>
        <v>SpareSegmentC</v>
      </c>
      <c r="C772" s="207"/>
    </row>
    <row r="773" spans="1:12" outlineLevel="1"/>
    <row r="774" spans="1:12" ht="23" outlineLevel="1">
      <c r="B774" s="91" t="s">
        <v>341</v>
      </c>
      <c r="J774" s="1" t="str">
        <f t="array" ref="J774:L774">options.selected.VAS</f>
        <v>VAS minutes</v>
      </c>
      <c r="K774" s="95" t="str">
        <v>VAS BankID</v>
      </c>
      <c r="L774" s="95" t="str">
        <v>Other VAS messages</v>
      </c>
    </row>
    <row r="775" spans="1:12" outlineLevel="1">
      <c r="C775" t="s">
        <v>371</v>
      </c>
      <c r="D775" t="s">
        <v>282</v>
      </c>
      <c r="J775" s="239">
        <f t="array" ref="J775:L775">VAS.IC</f>
        <v>0</v>
      </c>
      <c r="K775" s="239">
        <v>0</v>
      </c>
      <c r="L775" s="239">
        <v>0</v>
      </c>
    </row>
    <row r="776" spans="1:12" outlineLevel="1"/>
    <row r="777" spans="1:12" outlineLevel="1">
      <c r="J777" s="213" t="s">
        <v>532</v>
      </c>
      <c r="K777" s="213" t="s">
        <v>532</v>
      </c>
      <c r="L777" s="213" t="s">
        <v>198</v>
      </c>
    </row>
    <row r="778" spans="1:12" outlineLevel="1">
      <c r="J778">
        <f>MATCH(J780,demand.descriptions.short,0)</f>
        <v>7</v>
      </c>
      <c r="K778">
        <f>MATCH(K780,demand.descriptions.short,0)</f>
        <v>8</v>
      </c>
      <c r="L778" s="238">
        <f>MATCH(L780,revenue.descriptions.short,0)</f>
        <v>13</v>
      </c>
    </row>
    <row r="779" spans="1:12" outlineLevel="1">
      <c r="B779" s="91" t="s">
        <v>374</v>
      </c>
      <c r="J779" s="66" t="s">
        <v>271</v>
      </c>
      <c r="K779" s="66"/>
      <c r="L779" s="66"/>
    </row>
    <row r="780" spans="1:12" ht="23" outlineLevel="1">
      <c r="B780" s="91"/>
      <c r="F780" s="127" t="s">
        <v>190</v>
      </c>
      <c r="H780" s="119" t="s">
        <v>223</v>
      </c>
      <c r="J780" s="1" t="str">
        <f t="array" ref="J780:L780">options.selected.VAS</f>
        <v>VAS minutes</v>
      </c>
      <c r="K780" s="95" t="str">
        <v>VAS BankID</v>
      </c>
      <c r="L780" s="95" t="str">
        <v>Other VAS messages</v>
      </c>
    </row>
    <row r="781" spans="1:12" outlineLevel="1">
      <c r="C781" s="91" t="s">
        <v>89</v>
      </c>
      <c r="D781" t="s">
        <v>170</v>
      </c>
      <c r="F781" s="114">
        <f>SUMPRODUCT(F782:F816,$H782:$H816)</f>
        <v>0</v>
      </c>
      <c r="J781" s="106">
        <f>SUMPRODUCT(J782:J816,$H782:$H816)</f>
        <v>0</v>
      </c>
      <c r="K781" s="106">
        <f>SUMPRODUCT(K782:K816,$H782:$H816)</f>
        <v>0</v>
      </c>
      <c r="L781" s="106">
        <f>SUMPRODUCT(L782:L816,$H782:$H816)</f>
        <v>0</v>
      </c>
    </row>
    <row r="782" spans="1:12" outlineLevel="1">
      <c r="B782">
        <f t="shared" ref="B782:B816" si="558">MATCH(C782,offers.segment.all,0)</f>
        <v>71</v>
      </c>
      <c r="C782" s="73" t="str">
        <f t="array" ref="C782:C816">offers.segment.3</f>
        <v>SpareOfferC1</v>
      </c>
      <c r="D782" t="s">
        <v>170</v>
      </c>
      <c r="F782" s="235">
        <f>SUMPRODUCT($J$775:$L$775, J782:L782)</f>
        <v>0</v>
      </c>
      <c r="H782" s="87">
        <f t="array" ref="H782:H816">subscription.split.segment.3</f>
        <v>0</v>
      </c>
      <c r="J782" s="236">
        <f t="shared" ref="J782:K801" si="559">INDEX(per.sub.volumes.by.demand.descriptions,$B782,J$778)</f>
        <v>0</v>
      </c>
      <c r="K782" s="236">
        <f t="shared" si="559"/>
        <v>0</v>
      </c>
      <c r="L782" s="122">
        <f t="shared" ref="L782:L816" si="560">INDEX(per.sub.revenues.by.revenues.descriptions,$B782,L$778)</f>
        <v>0</v>
      </c>
    </row>
    <row r="783" spans="1:12" hidden="1" outlineLevel="2">
      <c r="B783">
        <f t="shared" si="558"/>
        <v>72</v>
      </c>
      <c r="C783" s="73" t="str">
        <v>SpareOfferC2</v>
      </c>
      <c r="D783" t="s">
        <v>170</v>
      </c>
      <c r="F783" s="235">
        <f t="shared" ref="F783:F816" si="561">SUMPRODUCT($J$775:$L$775, J783:L783)</f>
        <v>0</v>
      </c>
      <c r="H783" s="87">
        <v>0</v>
      </c>
      <c r="J783" s="236">
        <f t="shared" si="559"/>
        <v>0</v>
      </c>
      <c r="K783" s="236">
        <f t="shared" si="559"/>
        <v>0</v>
      </c>
      <c r="L783" s="122">
        <f t="shared" si="560"/>
        <v>0</v>
      </c>
    </row>
    <row r="784" spans="1:12" hidden="1" outlineLevel="2">
      <c r="B784">
        <f t="shared" si="558"/>
        <v>73</v>
      </c>
      <c r="C784" s="73" t="str">
        <v>SpareOfferC3</v>
      </c>
      <c r="D784" t="s">
        <v>170</v>
      </c>
      <c r="F784" s="235">
        <f t="shared" si="561"/>
        <v>0</v>
      </c>
      <c r="H784" s="87">
        <v>0</v>
      </c>
      <c r="J784" s="236">
        <f t="shared" si="559"/>
        <v>0</v>
      </c>
      <c r="K784" s="236">
        <f t="shared" si="559"/>
        <v>0</v>
      </c>
      <c r="L784" s="122">
        <f t="shared" si="560"/>
        <v>0</v>
      </c>
    </row>
    <row r="785" spans="2:12" hidden="1" outlineLevel="2">
      <c r="B785">
        <f t="shared" si="558"/>
        <v>74</v>
      </c>
      <c r="C785" s="73" t="str">
        <v>SpareOfferC4</v>
      </c>
      <c r="D785" t="s">
        <v>170</v>
      </c>
      <c r="F785" s="235">
        <f t="shared" si="561"/>
        <v>0</v>
      </c>
      <c r="H785" s="87">
        <v>0</v>
      </c>
      <c r="J785" s="236">
        <f t="shared" si="559"/>
        <v>0</v>
      </c>
      <c r="K785" s="236">
        <f t="shared" si="559"/>
        <v>0</v>
      </c>
      <c r="L785" s="122">
        <f t="shared" si="560"/>
        <v>0</v>
      </c>
    </row>
    <row r="786" spans="2:12" hidden="1" outlineLevel="2">
      <c r="B786">
        <f t="shared" si="558"/>
        <v>75</v>
      </c>
      <c r="C786" s="73" t="str">
        <v>SpareOfferC5</v>
      </c>
      <c r="D786" t="s">
        <v>170</v>
      </c>
      <c r="F786" s="235">
        <f t="shared" si="561"/>
        <v>0</v>
      </c>
      <c r="H786" s="87">
        <v>0</v>
      </c>
      <c r="J786" s="236">
        <f t="shared" si="559"/>
        <v>0</v>
      </c>
      <c r="K786" s="236">
        <f t="shared" si="559"/>
        <v>0</v>
      </c>
      <c r="L786" s="122">
        <f t="shared" si="560"/>
        <v>0</v>
      </c>
    </row>
    <row r="787" spans="2:12" hidden="1" outlineLevel="2">
      <c r="B787">
        <f t="shared" si="558"/>
        <v>76</v>
      </c>
      <c r="C787" s="73" t="str">
        <v>SpareOfferC6</v>
      </c>
      <c r="D787" t="s">
        <v>170</v>
      </c>
      <c r="F787" s="235">
        <f t="shared" si="561"/>
        <v>0</v>
      </c>
      <c r="H787" s="87">
        <v>0</v>
      </c>
      <c r="J787" s="236">
        <f t="shared" si="559"/>
        <v>0</v>
      </c>
      <c r="K787" s="236">
        <f t="shared" si="559"/>
        <v>0</v>
      </c>
      <c r="L787" s="122">
        <f t="shared" si="560"/>
        <v>0</v>
      </c>
    </row>
    <row r="788" spans="2:12" hidden="1" outlineLevel="2">
      <c r="B788">
        <f t="shared" si="558"/>
        <v>77</v>
      </c>
      <c r="C788" s="73" t="str">
        <v>SpareOfferC7</v>
      </c>
      <c r="D788" t="s">
        <v>170</v>
      </c>
      <c r="F788" s="235">
        <f t="shared" si="561"/>
        <v>0</v>
      </c>
      <c r="H788" s="87">
        <v>0</v>
      </c>
      <c r="J788" s="236">
        <f t="shared" si="559"/>
        <v>0</v>
      </c>
      <c r="K788" s="236">
        <f t="shared" si="559"/>
        <v>0</v>
      </c>
      <c r="L788" s="122">
        <f t="shared" si="560"/>
        <v>0</v>
      </c>
    </row>
    <row r="789" spans="2:12" hidden="1" outlineLevel="2">
      <c r="B789">
        <f t="shared" si="558"/>
        <v>78</v>
      </c>
      <c r="C789" s="73" t="str">
        <v>SpareOfferC8</v>
      </c>
      <c r="D789" t="s">
        <v>170</v>
      </c>
      <c r="F789" s="235">
        <f t="shared" si="561"/>
        <v>0</v>
      </c>
      <c r="H789" s="87">
        <v>0</v>
      </c>
      <c r="J789" s="236">
        <f t="shared" si="559"/>
        <v>0</v>
      </c>
      <c r="K789" s="236">
        <f t="shared" si="559"/>
        <v>0</v>
      </c>
      <c r="L789" s="122">
        <f t="shared" si="560"/>
        <v>0</v>
      </c>
    </row>
    <row r="790" spans="2:12" hidden="1" outlineLevel="2">
      <c r="B790">
        <f t="shared" si="558"/>
        <v>79</v>
      </c>
      <c r="C790" s="73" t="str">
        <v>SpareOfferC9</v>
      </c>
      <c r="D790" t="s">
        <v>170</v>
      </c>
      <c r="F790" s="235">
        <f t="shared" si="561"/>
        <v>0</v>
      </c>
      <c r="H790" s="87">
        <v>0</v>
      </c>
      <c r="J790" s="236">
        <f t="shared" si="559"/>
        <v>0</v>
      </c>
      <c r="K790" s="236">
        <f t="shared" si="559"/>
        <v>0</v>
      </c>
      <c r="L790" s="122">
        <f t="shared" si="560"/>
        <v>0</v>
      </c>
    </row>
    <row r="791" spans="2:12" hidden="1" outlineLevel="2">
      <c r="B791">
        <f t="shared" si="558"/>
        <v>80</v>
      </c>
      <c r="C791" s="73" t="str">
        <v>SpareOfferC10</v>
      </c>
      <c r="D791" t="s">
        <v>170</v>
      </c>
      <c r="F791" s="235">
        <f t="shared" si="561"/>
        <v>0</v>
      </c>
      <c r="H791" s="87">
        <v>0</v>
      </c>
      <c r="J791" s="236">
        <f t="shared" si="559"/>
        <v>0</v>
      </c>
      <c r="K791" s="236">
        <f t="shared" si="559"/>
        <v>0</v>
      </c>
      <c r="L791" s="122">
        <f t="shared" si="560"/>
        <v>0</v>
      </c>
    </row>
    <row r="792" spans="2:12" hidden="1" outlineLevel="2">
      <c r="B792">
        <f t="shared" si="558"/>
        <v>81</v>
      </c>
      <c r="C792" s="73" t="str">
        <v>SpareOfferC11</v>
      </c>
      <c r="D792" t="s">
        <v>170</v>
      </c>
      <c r="F792" s="235">
        <f t="shared" si="561"/>
        <v>0</v>
      </c>
      <c r="H792" s="87">
        <v>0</v>
      </c>
      <c r="J792" s="236">
        <f t="shared" si="559"/>
        <v>0</v>
      </c>
      <c r="K792" s="236">
        <f t="shared" si="559"/>
        <v>0</v>
      </c>
      <c r="L792" s="122">
        <f t="shared" si="560"/>
        <v>0</v>
      </c>
    </row>
    <row r="793" spans="2:12" hidden="1" outlineLevel="2">
      <c r="B793">
        <f t="shared" si="558"/>
        <v>82</v>
      </c>
      <c r="C793" s="73" t="str">
        <v>SpareOfferC12</v>
      </c>
      <c r="D793" t="s">
        <v>170</v>
      </c>
      <c r="F793" s="235">
        <f t="shared" si="561"/>
        <v>0</v>
      </c>
      <c r="H793" s="87">
        <v>0</v>
      </c>
      <c r="J793" s="236">
        <f t="shared" si="559"/>
        <v>0</v>
      </c>
      <c r="K793" s="236">
        <f t="shared" si="559"/>
        <v>0</v>
      </c>
      <c r="L793" s="122">
        <f t="shared" si="560"/>
        <v>0</v>
      </c>
    </row>
    <row r="794" spans="2:12" hidden="1" outlineLevel="2">
      <c r="B794">
        <f t="shared" si="558"/>
        <v>83</v>
      </c>
      <c r="C794" s="73" t="str">
        <v>SpareOfferC13</v>
      </c>
      <c r="D794" t="s">
        <v>170</v>
      </c>
      <c r="F794" s="235">
        <f t="shared" si="561"/>
        <v>0</v>
      </c>
      <c r="H794" s="87">
        <v>0</v>
      </c>
      <c r="J794" s="236">
        <f t="shared" si="559"/>
        <v>0</v>
      </c>
      <c r="K794" s="236">
        <f t="shared" si="559"/>
        <v>0</v>
      </c>
      <c r="L794" s="122">
        <f t="shared" si="560"/>
        <v>0</v>
      </c>
    </row>
    <row r="795" spans="2:12" hidden="1" outlineLevel="2">
      <c r="B795">
        <f t="shared" si="558"/>
        <v>84</v>
      </c>
      <c r="C795" s="73" t="str">
        <v>SpareOfferC14</v>
      </c>
      <c r="D795" t="s">
        <v>170</v>
      </c>
      <c r="F795" s="235">
        <f t="shared" si="561"/>
        <v>0</v>
      </c>
      <c r="H795" s="87">
        <v>0</v>
      </c>
      <c r="J795" s="236">
        <f t="shared" si="559"/>
        <v>0</v>
      </c>
      <c r="K795" s="236">
        <f t="shared" si="559"/>
        <v>0</v>
      </c>
      <c r="L795" s="122">
        <f t="shared" si="560"/>
        <v>0</v>
      </c>
    </row>
    <row r="796" spans="2:12" hidden="1" outlineLevel="2">
      <c r="B796">
        <f t="shared" si="558"/>
        <v>85</v>
      </c>
      <c r="C796" s="73" t="str">
        <v>SpareOfferC15</v>
      </c>
      <c r="D796" t="s">
        <v>170</v>
      </c>
      <c r="F796" s="235">
        <f t="shared" si="561"/>
        <v>0</v>
      </c>
      <c r="H796" s="87">
        <v>0</v>
      </c>
      <c r="J796" s="236">
        <f t="shared" si="559"/>
        <v>0</v>
      </c>
      <c r="K796" s="236">
        <f t="shared" si="559"/>
        <v>0</v>
      </c>
      <c r="L796" s="122">
        <f t="shared" si="560"/>
        <v>0</v>
      </c>
    </row>
    <row r="797" spans="2:12" hidden="1" outlineLevel="2">
      <c r="B797">
        <f t="shared" si="558"/>
        <v>86</v>
      </c>
      <c r="C797" s="73" t="str">
        <v>SpareOfferC16</v>
      </c>
      <c r="D797" t="s">
        <v>170</v>
      </c>
      <c r="F797" s="235">
        <f t="shared" si="561"/>
        <v>0</v>
      </c>
      <c r="H797" s="87">
        <v>0</v>
      </c>
      <c r="J797" s="236">
        <f t="shared" si="559"/>
        <v>0</v>
      </c>
      <c r="K797" s="236">
        <f t="shared" si="559"/>
        <v>0</v>
      </c>
      <c r="L797" s="122">
        <f t="shared" si="560"/>
        <v>0</v>
      </c>
    </row>
    <row r="798" spans="2:12" hidden="1" outlineLevel="2">
      <c r="B798">
        <f t="shared" si="558"/>
        <v>87</v>
      </c>
      <c r="C798" s="73" t="str">
        <v>SpareOfferC17</v>
      </c>
      <c r="D798" t="s">
        <v>170</v>
      </c>
      <c r="F798" s="235">
        <f t="shared" si="561"/>
        <v>0</v>
      </c>
      <c r="H798" s="87">
        <v>0</v>
      </c>
      <c r="J798" s="236">
        <f t="shared" si="559"/>
        <v>0</v>
      </c>
      <c r="K798" s="236">
        <f t="shared" si="559"/>
        <v>0</v>
      </c>
      <c r="L798" s="122">
        <f t="shared" si="560"/>
        <v>0</v>
      </c>
    </row>
    <row r="799" spans="2:12" hidden="1" outlineLevel="2">
      <c r="B799">
        <f t="shared" si="558"/>
        <v>88</v>
      </c>
      <c r="C799" s="73" t="str">
        <v>SpareOfferC18</v>
      </c>
      <c r="D799" t="s">
        <v>170</v>
      </c>
      <c r="F799" s="235">
        <f t="shared" si="561"/>
        <v>0</v>
      </c>
      <c r="H799" s="87">
        <v>0</v>
      </c>
      <c r="J799" s="236">
        <f t="shared" si="559"/>
        <v>0</v>
      </c>
      <c r="K799" s="236">
        <f t="shared" si="559"/>
        <v>0</v>
      </c>
      <c r="L799" s="122">
        <f t="shared" si="560"/>
        <v>0</v>
      </c>
    </row>
    <row r="800" spans="2:12" hidden="1" outlineLevel="2">
      <c r="B800">
        <f t="shared" si="558"/>
        <v>89</v>
      </c>
      <c r="C800" s="73" t="str">
        <v>SpareOfferC19</v>
      </c>
      <c r="D800" t="s">
        <v>170</v>
      </c>
      <c r="F800" s="235">
        <f t="shared" si="561"/>
        <v>0</v>
      </c>
      <c r="H800" s="87">
        <v>0</v>
      </c>
      <c r="J800" s="236">
        <f t="shared" si="559"/>
        <v>0</v>
      </c>
      <c r="K800" s="236">
        <f t="shared" si="559"/>
        <v>0</v>
      </c>
      <c r="L800" s="122">
        <f t="shared" si="560"/>
        <v>0</v>
      </c>
    </row>
    <row r="801" spans="2:12" hidden="1" outlineLevel="2">
      <c r="B801">
        <f t="shared" si="558"/>
        <v>90</v>
      </c>
      <c r="C801" s="73" t="str">
        <v>SpareOfferC20</v>
      </c>
      <c r="D801" t="s">
        <v>170</v>
      </c>
      <c r="F801" s="235">
        <f t="shared" si="561"/>
        <v>0</v>
      </c>
      <c r="H801" s="87">
        <v>0</v>
      </c>
      <c r="J801" s="236">
        <f t="shared" si="559"/>
        <v>0</v>
      </c>
      <c r="K801" s="236">
        <f t="shared" si="559"/>
        <v>0</v>
      </c>
      <c r="L801" s="122">
        <f t="shared" si="560"/>
        <v>0</v>
      </c>
    </row>
    <row r="802" spans="2:12" hidden="1" outlineLevel="2">
      <c r="B802">
        <f t="shared" si="558"/>
        <v>91</v>
      </c>
      <c r="C802" s="73" t="str">
        <v>SpareOfferC21</v>
      </c>
      <c r="D802" t="s">
        <v>170</v>
      </c>
      <c r="F802" s="235">
        <f t="shared" si="561"/>
        <v>0</v>
      </c>
      <c r="H802" s="87">
        <v>0</v>
      </c>
      <c r="J802" s="236">
        <f t="shared" ref="J802:K816" si="562">INDEX(per.sub.volumes.by.demand.descriptions,$B802,J$778)</f>
        <v>0</v>
      </c>
      <c r="K802" s="236">
        <f t="shared" si="562"/>
        <v>0</v>
      </c>
      <c r="L802" s="122">
        <f t="shared" si="560"/>
        <v>0</v>
      </c>
    </row>
    <row r="803" spans="2:12" hidden="1" outlineLevel="2">
      <c r="B803">
        <f t="shared" si="558"/>
        <v>92</v>
      </c>
      <c r="C803" s="73" t="str">
        <v>SpareOfferC22</v>
      </c>
      <c r="D803" t="s">
        <v>170</v>
      </c>
      <c r="F803" s="235">
        <f t="shared" si="561"/>
        <v>0</v>
      </c>
      <c r="H803" s="87">
        <v>0</v>
      </c>
      <c r="J803" s="236">
        <f t="shared" si="562"/>
        <v>0</v>
      </c>
      <c r="K803" s="236">
        <f t="shared" si="562"/>
        <v>0</v>
      </c>
      <c r="L803" s="122">
        <f t="shared" si="560"/>
        <v>0</v>
      </c>
    </row>
    <row r="804" spans="2:12" hidden="1" outlineLevel="2">
      <c r="B804">
        <f t="shared" si="558"/>
        <v>93</v>
      </c>
      <c r="C804" s="73" t="str">
        <v>SpareOfferC23</v>
      </c>
      <c r="D804" t="s">
        <v>170</v>
      </c>
      <c r="F804" s="235">
        <f t="shared" si="561"/>
        <v>0</v>
      </c>
      <c r="H804" s="87">
        <v>0</v>
      </c>
      <c r="J804" s="236">
        <f t="shared" si="562"/>
        <v>0</v>
      </c>
      <c r="K804" s="236">
        <f t="shared" si="562"/>
        <v>0</v>
      </c>
      <c r="L804" s="122">
        <f t="shared" si="560"/>
        <v>0</v>
      </c>
    </row>
    <row r="805" spans="2:12" hidden="1" outlineLevel="2">
      <c r="B805">
        <f t="shared" si="558"/>
        <v>94</v>
      </c>
      <c r="C805" s="73" t="str">
        <v>SpareOfferC24</v>
      </c>
      <c r="D805" t="s">
        <v>170</v>
      </c>
      <c r="F805" s="235">
        <f t="shared" si="561"/>
        <v>0</v>
      </c>
      <c r="H805" s="87">
        <v>0</v>
      </c>
      <c r="J805" s="236">
        <f t="shared" si="562"/>
        <v>0</v>
      </c>
      <c r="K805" s="236">
        <f t="shared" si="562"/>
        <v>0</v>
      </c>
      <c r="L805" s="122">
        <f t="shared" si="560"/>
        <v>0</v>
      </c>
    </row>
    <row r="806" spans="2:12" hidden="1" outlineLevel="2">
      <c r="B806">
        <f t="shared" si="558"/>
        <v>95</v>
      </c>
      <c r="C806" s="73" t="str">
        <v>SpareOfferC25</v>
      </c>
      <c r="D806" t="s">
        <v>170</v>
      </c>
      <c r="F806" s="235">
        <f t="shared" si="561"/>
        <v>0</v>
      </c>
      <c r="H806" s="87">
        <v>0</v>
      </c>
      <c r="J806" s="236">
        <f t="shared" si="562"/>
        <v>0</v>
      </c>
      <c r="K806" s="236">
        <f t="shared" si="562"/>
        <v>0</v>
      </c>
      <c r="L806" s="122">
        <f t="shared" si="560"/>
        <v>0</v>
      </c>
    </row>
    <row r="807" spans="2:12" hidden="1" outlineLevel="2">
      <c r="B807">
        <f t="shared" si="558"/>
        <v>96</v>
      </c>
      <c r="C807" s="73" t="str">
        <v>SpareOfferC26</v>
      </c>
      <c r="D807" t="s">
        <v>170</v>
      </c>
      <c r="F807" s="235">
        <f t="shared" si="561"/>
        <v>0</v>
      </c>
      <c r="H807" s="87">
        <v>0</v>
      </c>
      <c r="J807" s="236">
        <f t="shared" si="562"/>
        <v>0</v>
      </c>
      <c r="K807" s="236">
        <f t="shared" si="562"/>
        <v>0</v>
      </c>
      <c r="L807" s="122">
        <f t="shared" si="560"/>
        <v>0</v>
      </c>
    </row>
    <row r="808" spans="2:12" hidden="1" outlineLevel="2">
      <c r="B808">
        <f t="shared" si="558"/>
        <v>97</v>
      </c>
      <c r="C808" s="73" t="str">
        <v>SpareOfferC27</v>
      </c>
      <c r="D808" t="s">
        <v>170</v>
      </c>
      <c r="F808" s="235">
        <f t="shared" si="561"/>
        <v>0</v>
      </c>
      <c r="H808" s="87">
        <v>0</v>
      </c>
      <c r="J808" s="236">
        <f t="shared" si="562"/>
        <v>0</v>
      </c>
      <c r="K808" s="236">
        <f t="shared" si="562"/>
        <v>0</v>
      </c>
      <c r="L808" s="122">
        <f t="shared" si="560"/>
        <v>0</v>
      </c>
    </row>
    <row r="809" spans="2:12" hidden="1" outlineLevel="2">
      <c r="B809">
        <f t="shared" si="558"/>
        <v>98</v>
      </c>
      <c r="C809" s="73" t="str">
        <v>SpareOfferC28</v>
      </c>
      <c r="D809" t="s">
        <v>170</v>
      </c>
      <c r="F809" s="235">
        <f t="shared" si="561"/>
        <v>0</v>
      </c>
      <c r="H809" s="87">
        <v>0</v>
      </c>
      <c r="J809" s="236">
        <f t="shared" si="562"/>
        <v>0</v>
      </c>
      <c r="K809" s="236">
        <f t="shared" si="562"/>
        <v>0</v>
      </c>
      <c r="L809" s="122">
        <f t="shared" si="560"/>
        <v>0</v>
      </c>
    </row>
    <row r="810" spans="2:12" hidden="1" outlineLevel="2">
      <c r="B810">
        <f t="shared" si="558"/>
        <v>99</v>
      </c>
      <c r="C810" s="73" t="str">
        <v>SpareOfferC29</v>
      </c>
      <c r="D810" t="s">
        <v>170</v>
      </c>
      <c r="F810" s="235">
        <f t="shared" si="561"/>
        <v>0</v>
      </c>
      <c r="H810" s="87">
        <v>0</v>
      </c>
      <c r="J810" s="236">
        <f t="shared" si="562"/>
        <v>0</v>
      </c>
      <c r="K810" s="236">
        <f t="shared" si="562"/>
        <v>0</v>
      </c>
      <c r="L810" s="122">
        <f t="shared" si="560"/>
        <v>0</v>
      </c>
    </row>
    <row r="811" spans="2:12" hidden="1" outlineLevel="2">
      <c r="B811">
        <f t="shared" si="558"/>
        <v>100</v>
      </c>
      <c r="C811" s="73" t="str">
        <v>SpareOfferC30</v>
      </c>
      <c r="D811" t="s">
        <v>170</v>
      </c>
      <c r="F811" s="235">
        <f t="shared" si="561"/>
        <v>0</v>
      </c>
      <c r="H811" s="87">
        <v>0</v>
      </c>
      <c r="J811" s="236">
        <f t="shared" si="562"/>
        <v>0</v>
      </c>
      <c r="K811" s="236">
        <f t="shared" si="562"/>
        <v>0</v>
      </c>
      <c r="L811" s="122">
        <f t="shared" si="560"/>
        <v>0</v>
      </c>
    </row>
    <row r="812" spans="2:12" hidden="1" outlineLevel="2">
      <c r="B812">
        <f t="shared" si="558"/>
        <v>101</v>
      </c>
      <c r="C812" s="73" t="str">
        <v>SpareOfferC31</v>
      </c>
      <c r="D812" t="s">
        <v>170</v>
      </c>
      <c r="F812" s="235">
        <f t="shared" si="561"/>
        <v>0</v>
      </c>
      <c r="H812" s="87">
        <v>0</v>
      </c>
      <c r="J812" s="236">
        <f t="shared" si="562"/>
        <v>0</v>
      </c>
      <c r="K812" s="236">
        <f t="shared" si="562"/>
        <v>0</v>
      </c>
      <c r="L812" s="122">
        <f t="shared" si="560"/>
        <v>0</v>
      </c>
    </row>
    <row r="813" spans="2:12" hidden="1" outlineLevel="2">
      <c r="B813">
        <f t="shared" si="558"/>
        <v>102</v>
      </c>
      <c r="C813" s="73" t="str">
        <v>SpareOfferC32</v>
      </c>
      <c r="D813" t="s">
        <v>170</v>
      </c>
      <c r="F813" s="235">
        <f t="shared" si="561"/>
        <v>0</v>
      </c>
      <c r="H813" s="87">
        <v>0</v>
      </c>
      <c r="J813" s="236">
        <f t="shared" si="562"/>
        <v>0</v>
      </c>
      <c r="K813" s="236">
        <f t="shared" si="562"/>
        <v>0</v>
      </c>
      <c r="L813" s="122">
        <f t="shared" si="560"/>
        <v>0</v>
      </c>
    </row>
    <row r="814" spans="2:12" hidden="1" outlineLevel="2">
      <c r="B814">
        <f t="shared" si="558"/>
        <v>103</v>
      </c>
      <c r="C814" s="73" t="str">
        <v>SpareOfferC33</v>
      </c>
      <c r="D814" t="s">
        <v>170</v>
      </c>
      <c r="F814" s="235">
        <f t="shared" si="561"/>
        <v>0</v>
      </c>
      <c r="H814" s="87">
        <v>0</v>
      </c>
      <c r="J814" s="236">
        <f t="shared" si="562"/>
        <v>0</v>
      </c>
      <c r="K814" s="236">
        <f t="shared" si="562"/>
        <v>0</v>
      </c>
      <c r="L814" s="122">
        <f t="shared" si="560"/>
        <v>0</v>
      </c>
    </row>
    <row r="815" spans="2:12" hidden="1" outlineLevel="2">
      <c r="B815">
        <f t="shared" si="558"/>
        <v>104</v>
      </c>
      <c r="C815" s="73" t="str">
        <v>SpareOfferC34</v>
      </c>
      <c r="D815" t="s">
        <v>170</v>
      </c>
      <c r="F815" s="235">
        <f t="shared" si="561"/>
        <v>0</v>
      </c>
      <c r="H815" s="87">
        <v>0</v>
      </c>
      <c r="J815" s="236">
        <f t="shared" si="562"/>
        <v>0</v>
      </c>
      <c r="K815" s="236">
        <f t="shared" si="562"/>
        <v>0</v>
      </c>
      <c r="L815" s="122">
        <f t="shared" si="560"/>
        <v>0</v>
      </c>
    </row>
    <row r="816" spans="2:12" outlineLevel="1" collapsed="1">
      <c r="B816">
        <f t="shared" si="558"/>
        <v>105</v>
      </c>
      <c r="C816" s="73" t="str">
        <v>SpareOfferC35</v>
      </c>
      <c r="D816" t="s">
        <v>170</v>
      </c>
      <c r="F816" s="235">
        <f t="shared" si="561"/>
        <v>0</v>
      </c>
      <c r="H816" s="87">
        <v>0</v>
      </c>
      <c r="J816" s="236">
        <f t="shared" si="562"/>
        <v>0</v>
      </c>
      <c r="K816" s="236">
        <f t="shared" si="562"/>
        <v>0</v>
      </c>
      <c r="L816" s="122">
        <f t="shared" si="560"/>
        <v>0</v>
      </c>
    </row>
    <row r="818" spans="1:12" s="220" customFormat="1">
      <c r="A818" s="220">
        <v>4</v>
      </c>
      <c r="B818" s="221" t="str">
        <f>INDEX(segments,A818)</f>
        <v>SpareSegmentD</v>
      </c>
      <c r="C818" s="207"/>
    </row>
    <row r="819" spans="1:12" outlineLevel="1"/>
    <row r="820" spans="1:12" ht="23" outlineLevel="1">
      <c r="B820" s="91" t="s">
        <v>341</v>
      </c>
      <c r="J820" s="1" t="str">
        <f t="array" ref="J820:L820">options.selected.VAS</f>
        <v>VAS minutes</v>
      </c>
      <c r="K820" s="95" t="str">
        <v>VAS BankID</v>
      </c>
      <c r="L820" s="95" t="str">
        <v>Other VAS messages</v>
      </c>
    </row>
    <row r="821" spans="1:12" outlineLevel="1">
      <c r="C821" t="s">
        <v>371</v>
      </c>
      <c r="D821" t="s">
        <v>282</v>
      </c>
      <c r="J821" s="239">
        <f t="array" ref="J821:L821">VAS.IC</f>
        <v>0</v>
      </c>
      <c r="K821" s="239">
        <v>0</v>
      </c>
      <c r="L821" s="239">
        <v>0</v>
      </c>
    </row>
    <row r="822" spans="1:12" outlineLevel="1"/>
    <row r="823" spans="1:12" outlineLevel="1">
      <c r="J823" s="213" t="s">
        <v>532</v>
      </c>
      <c r="K823" s="213" t="s">
        <v>532</v>
      </c>
      <c r="L823" s="213" t="s">
        <v>198</v>
      </c>
    </row>
    <row r="824" spans="1:12" outlineLevel="1">
      <c r="J824">
        <f>MATCH(J826,demand.descriptions.short,0)</f>
        <v>7</v>
      </c>
      <c r="K824">
        <f>MATCH(K826,demand.descriptions.short,0)</f>
        <v>8</v>
      </c>
      <c r="L824" s="238">
        <f>MATCH(L826,revenue.descriptions.short,0)</f>
        <v>13</v>
      </c>
    </row>
    <row r="825" spans="1:12" outlineLevel="1">
      <c r="B825" s="91" t="s">
        <v>374</v>
      </c>
      <c r="J825" s="66" t="s">
        <v>271</v>
      </c>
      <c r="K825" s="66"/>
      <c r="L825" s="66"/>
    </row>
    <row r="826" spans="1:12" ht="23" outlineLevel="1">
      <c r="F826" s="127" t="s">
        <v>190</v>
      </c>
      <c r="H826" s="119" t="s">
        <v>223</v>
      </c>
      <c r="J826" s="1" t="str">
        <f t="array" ref="J826:L826">options.selected.VAS</f>
        <v>VAS minutes</v>
      </c>
      <c r="K826" s="95" t="str">
        <v>VAS BankID</v>
      </c>
      <c r="L826" s="95" t="str">
        <v>Other VAS messages</v>
      </c>
    </row>
    <row r="827" spans="1:12" outlineLevel="1">
      <c r="C827" s="91" t="s">
        <v>89</v>
      </c>
      <c r="D827" t="s">
        <v>170</v>
      </c>
      <c r="F827" s="114">
        <f>SUMPRODUCT(F828:F862,$H828:$H862)</f>
        <v>0</v>
      </c>
      <c r="J827" s="106">
        <f>SUMPRODUCT(J828:J862,$H828:$H862)</f>
        <v>0</v>
      </c>
      <c r="K827" s="106">
        <f t="shared" ref="K827:L827" si="563">SUMPRODUCT(K828:K862,$H828:$H862)</f>
        <v>0</v>
      </c>
      <c r="L827" s="106">
        <f t="shared" si="563"/>
        <v>0</v>
      </c>
    </row>
    <row r="828" spans="1:12" outlineLevel="1">
      <c r="B828">
        <f t="shared" ref="B828:B862" si="564">MATCH(C828,offers.segment.all,0)</f>
        <v>106</v>
      </c>
      <c r="C828" s="73" t="str">
        <f t="array" ref="C828:C862">offers.segment.4</f>
        <v>SpareOfferD1</v>
      </c>
      <c r="D828" t="s">
        <v>170</v>
      </c>
      <c r="F828" s="235">
        <f>SUMPRODUCT($J$821:$L$821, J828:L828)</f>
        <v>0</v>
      </c>
      <c r="H828" s="87">
        <f t="array" ref="H828:H862">subscription.split.segment.4</f>
        <v>0</v>
      </c>
      <c r="J828" s="236">
        <f t="shared" ref="J828:K847" si="565">INDEX(per.sub.volumes.by.demand.descriptions,$B828,J$824)</f>
        <v>0</v>
      </c>
      <c r="K828" s="236">
        <f t="shared" si="565"/>
        <v>0</v>
      </c>
      <c r="L828" s="122">
        <f t="shared" ref="L828:L862" si="566">INDEX(per.sub.revenues.by.revenues.descriptions,$B828,L$824)</f>
        <v>0</v>
      </c>
    </row>
    <row r="829" spans="1:12" hidden="1" outlineLevel="2">
      <c r="B829">
        <f t="shared" si="564"/>
        <v>107</v>
      </c>
      <c r="C829" s="73" t="str">
        <v>SpareOfferD2</v>
      </c>
      <c r="D829" t="s">
        <v>170</v>
      </c>
      <c r="F829" s="235">
        <f t="shared" ref="F829:F862" si="567">SUMPRODUCT($J$821:$L$821, J829:L829)</f>
        <v>0</v>
      </c>
      <c r="H829" s="87">
        <v>0</v>
      </c>
      <c r="J829" s="236">
        <f t="shared" si="565"/>
        <v>0</v>
      </c>
      <c r="K829" s="236">
        <f t="shared" si="565"/>
        <v>0</v>
      </c>
      <c r="L829" s="122">
        <f t="shared" si="566"/>
        <v>0</v>
      </c>
    </row>
    <row r="830" spans="1:12" hidden="1" outlineLevel="2">
      <c r="B830">
        <f t="shared" si="564"/>
        <v>108</v>
      </c>
      <c r="C830" s="73" t="str">
        <v>SpareOfferD3</v>
      </c>
      <c r="D830" t="s">
        <v>170</v>
      </c>
      <c r="F830" s="235">
        <f t="shared" si="567"/>
        <v>0</v>
      </c>
      <c r="H830" s="87">
        <v>0</v>
      </c>
      <c r="J830" s="236">
        <f t="shared" si="565"/>
        <v>0</v>
      </c>
      <c r="K830" s="236">
        <f t="shared" si="565"/>
        <v>0</v>
      </c>
      <c r="L830" s="122">
        <f t="shared" si="566"/>
        <v>0</v>
      </c>
    </row>
    <row r="831" spans="1:12" hidden="1" outlineLevel="2">
      <c r="B831">
        <f t="shared" si="564"/>
        <v>109</v>
      </c>
      <c r="C831" s="73" t="str">
        <v>SpareOfferD4</v>
      </c>
      <c r="D831" t="s">
        <v>170</v>
      </c>
      <c r="F831" s="235">
        <f t="shared" si="567"/>
        <v>0</v>
      </c>
      <c r="H831" s="87">
        <v>0</v>
      </c>
      <c r="J831" s="236">
        <f t="shared" si="565"/>
        <v>0</v>
      </c>
      <c r="K831" s="236">
        <f t="shared" si="565"/>
        <v>0</v>
      </c>
      <c r="L831" s="122">
        <f t="shared" si="566"/>
        <v>0</v>
      </c>
    </row>
    <row r="832" spans="1:12" hidden="1" outlineLevel="2">
      <c r="B832">
        <f t="shared" si="564"/>
        <v>110</v>
      </c>
      <c r="C832" s="73" t="str">
        <v>SpareOfferD5</v>
      </c>
      <c r="D832" t="s">
        <v>170</v>
      </c>
      <c r="F832" s="235">
        <f t="shared" si="567"/>
        <v>0</v>
      </c>
      <c r="H832" s="87">
        <v>0</v>
      </c>
      <c r="J832" s="236">
        <f t="shared" si="565"/>
        <v>0</v>
      </c>
      <c r="K832" s="236">
        <f t="shared" si="565"/>
        <v>0</v>
      </c>
      <c r="L832" s="122">
        <f t="shared" si="566"/>
        <v>0</v>
      </c>
    </row>
    <row r="833" spans="2:12" hidden="1" outlineLevel="2">
      <c r="B833">
        <f t="shared" si="564"/>
        <v>111</v>
      </c>
      <c r="C833" s="73" t="str">
        <v>SpareOfferD6</v>
      </c>
      <c r="D833" t="s">
        <v>170</v>
      </c>
      <c r="F833" s="235">
        <f t="shared" si="567"/>
        <v>0</v>
      </c>
      <c r="H833" s="87">
        <v>0</v>
      </c>
      <c r="J833" s="236">
        <f t="shared" si="565"/>
        <v>0</v>
      </c>
      <c r="K833" s="236">
        <f t="shared" si="565"/>
        <v>0</v>
      </c>
      <c r="L833" s="122">
        <f t="shared" si="566"/>
        <v>0</v>
      </c>
    </row>
    <row r="834" spans="2:12" hidden="1" outlineLevel="2">
      <c r="B834">
        <f t="shared" si="564"/>
        <v>112</v>
      </c>
      <c r="C834" s="73" t="str">
        <v>SpareOfferD7</v>
      </c>
      <c r="D834" t="s">
        <v>170</v>
      </c>
      <c r="F834" s="235">
        <f t="shared" si="567"/>
        <v>0</v>
      </c>
      <c r="H834" s="87">
        <v>0</v>
      </c>
      <c r="J834" s="236">
        <f t="shared" si="565"/>
        <v>0</v>
      </c>
      <c r="K834" s="236">
        <f t="shared" si="565"/>
        <v>0</v>
      </c>
      <c r="L834" s="122">
        <f t="shared" si="566"/>
        <v>0</v>
      </c>
    </row>
    <row r="835" spans="2:12" hidden="1" outlineLevel="2">
      <c r="B835">
        <f t="shared" si="564"/>
        <v>113</v>
      </c>
      <c r="C835" s="73" t="str">
        <v>SpareOfferD8</v>
      </c>
      <c r="D835" t="s">
        <v>170</v>
      </c>
      <c r="F835" s="235">
        <f t="shared" si="567"/>
        <v>0</v>
      </c>
      <c r="H835" s="87">
        <v>0</v>
      </c>
      <c r="J835" s="236">
        <f t="shared" si="565"/>
        <v>0</v>
      </c>
      <c r="K835" s="236">
        <f t="shared" si="565"/>
        <v>0</v>
      </c>
      <c r="L835" s="122">
        <f t="shared" si="566"/>
        <v>0</v>
      </c>
    </row>
    <row r="836" spans="2:12" hidden="1" outlineLevel="2">
      <c r="B836">
        <f t="shared" si="564"/>
        <v>114</v>
      </c>
      <c r="C836" s="73" t="str">
        <v>SpareOfferD9</v>
      </c>
      <c r="D836" t="s">
        <v>170</v>
      </c>
      <c r="F836" s="235">
        <f t="shared" si="567"/>
        <v>0</v>
      </c>
      <c r="H836" s="87">
        <v>0</v>
      </c>
      <c r="J836" s="236">
        <f t="shared" si="565"/>
        <v>0</v>
      </c>
      <c r="K836" s="236">
        <f t="shared" si="565"/>
        <v>0</v>
      </c>
      <c r="L836" s="122">
        <f t="shared" si="566"/>
        <v>0</v>
      </c>
    </row>
    <row r="837" spans="2:12" hidden="1" outlineLevel="2">
      <c r="B837">
        <f t="shared" si="564"/>
        <v>115</v>
      </c>
      <c r="C837" s="73" t="str">
        <v>SpareOfferD10</v>
      </c>
      <c r="D837" t="s">
        <v>170</v>
      </c>
      <c r="F837" s="235">
        <f t="shared" si="567"/>
        <v>0</v>
      </c>
      <c r="H837" s="87">
        <v>0</v>
      </c>
      <c r="J837" s="236">
        <f t="shared" si="565"/>
        <v>0</v>
      </c>
      <c r="K837" s="236">
        <f t="shared" si="565"/>
        <v>0</v>
      </c>
      <c r="L837" s="122">
        <f t="shared" si="566"/>
        <v>0</v>
      </c>
    </row>
    <row r="838" spans="2:12" hidden="1" outlineLevel="2">
      <c r="B838">
        <f t="shared" si="564"/>
        <v>116</v>
      </c>
      <c r="C838" s="73" t="str">
        <v>SpareOfferD11</v>
      </c>
      <c r="D838" t="s">
        <v>170</v>
      </c>
      <c r="F838" s="235">
        <f t="shared" si="567"/>
        <v>0</v>
      </c>
      <c r="H838" s="87">
        <v>0</v>
      </c>
      <c r="J838" s="236">
        <f t="shared" si="565"/>
        <v>0</v>
      </c>
      <c r="K838" s="236">
        <f t="shared" si="565"/>
        <v>0</v>
      </c>
      <c r="L838" s="122">
        <f t="shared" si="566"/>
        <v>0</v>
      </c>
    </row>
    <row r="839" spans="2:12" hidden="1" outlineLevel="2">
      <c r="B839">
        <f t="shared" si="564"/>
        <v>117</v>
      </c>
      <c r="C839" s="73" t="str">
        <v>SpareOfferD12</v>
      </c>
      <c r="D839" t="s">
        <v>170</v>
      </c>
      <c r="F839" s="235">
        <f t="shared" si="567"/>
        <v>0</v>
      </c>
      <c r="H839" s="87">
        <v>0</v>
      </c>
      <c r="J839" s="236">
        <f t="shared" si="565"/>
        <v>0</v>
      </c>
      <c r="K839" s="236">
        <f t="shared" si="565"/>
        <v>0</v>
      </c>
      <c r="L839" s="122">
        <f t="shared" si="566"/>
        <v>0</v>
      </c>
    </row>
    <row r="840" spans="2:12" hidden="1" outlineLevel="2">
      <c r="B840">
        <f t="shared" si="564"/>
        <v>118</v>
      </c>
      <c r="C840" s="73" t="str">
        <v>SpareOfferD13</v>
      </c>
      <c r="D840" t="s">
        <v>170</v>
      </c>
      <c r="F840" s="235">
        <f t="shared" si="567"/>
        <v>0</v>
      </c>
      <c r="H840" s="87">
        <v>0</v>
      </c>
      <c r="J840" s="236">
        <f t="shared" si="565"/>
        <v>0</v>
      </c>
      <c r="K840" s="236">
        <f t="shared" si="565"/>
        <v>0</v>
      </c>
      <c r="L840" s="122">
        <f t="shared" si="566"/>
        <v>0</v>
      </c>
    </row>
    <row r="841" spans="2:12" hidden="1" outlineLevel="2">
      <c r="B841">
        <f t="shared" si="564"/>
        <v>119</v>
      </c>
      <c r="C841" s="73" t="str">
        <v>SpareOfferD14</v>
      </c>
      <c r="D841" t="s">
        <v>170</v>
      </c>
      <c r="F841" s="235">
        <f t="shared" si="567"/>
        <v>0</v>
      </c>
      <c r="H841" s="87">
        <v>0</v>
      </c>
      <c r="J841" s="236">
        <f t="shared" si="565"/>
        <v>0</v>
      </c>
      <c r="K841" s="236">
        <f t="shared" si="565"/>
        <v>0</v>
      </c>
      <c r="L841" s="122">
        <f t="shared" si="566"/>
        <v>0</v>
      </c>
    </row>
    <row r="842" spans="2:12" hidden="1" outlineLevel="2">
      <c r="B842">
        <f t="shared" si="564"/>
        <v>120</v>
      </c>
      <c r="C842" s="73" t="str">
        <v>SpareOfferD15</v>
      </c>
      <c r="D842" t="s">
        <v>170</v>
      </c>
      <c r="F842" s="235">
        <f t="shared" si="567"/>
        <v>0</v>
      </c>
      <c r="H842" s="87">
        <v>0</v>
      </c>
      <c r="J842" s="236">
        <f t="shared" si="565"/>
        <v>0</v>
      </c>
      <c r="K842" s="236">
        <f t="shared" si="565"/>
        <v>0</v>
      </c>
      <c r="L842" s="122">
        <f t="shared" si="566"/>
        <v>0</v>
      </c>
    </row>
    <row r="843" spans="2:12" hidden="1" outlineLevel="2">
      <c r="B843">
        <f t="shared" si="564"/>
        <v>121</v>
      </c>
      <c r="C843" s="73" t="str">
        <v>SpareOfferD16</v>
      </c>
      <c r="D843" t="s">
        <v>170</v>
      </c>
      <c r="F843" s="235">
        <f t="shared" si="567"/>
        <v>0</v>
      </c>
      <c r="H843" s="87">
        <v>0</v>
      </c>
      <c r="J843" s="236">
        <f t="shared" si="565"/>
        <v>0</v>
      </c>
      <c r="K843" s="236">
        <f t="shared" si="565"/>
        <v>0</v>
      </c>
      <c r="L843" s="122">
        <f t="shared" si="566"/>
        <v>0</v>
      </c>
    </row>
    <row r="844" spans="2:12" hidden="1" outlineLevel="2">
      <c r="B844">
        <f t="shared" si="564"/>
        <v>122</v>
      </c>
      <c r="C844" s="73" t="str">
        <v>SpareOfferD17</v>
      </c>
      <c r="D844" t="s">
        <v>170</v>
      </c>
      <c r="F844" s="235">
        <f t="shared" si="567"/>
        <v>0</v>
      </c>
      <c r="H844" s="87">
        <v>0</v>
      </c>
      <c r="J844" s="236">
        <f t="shared" si="565"/>
        <v>0</v>
      </c>
      <c r="K844" s="236">
        <f t="shared" si="565"/>
        <v>0</v>
      </c>
      <c r="L844" s="122">
        <f t="shared" si="566"/>
        <v>0</v>
      </c>
    </row>
    <row r="845" spans="2:12" hidden="1" outlineLevel="2">
      <c r="B845">
        <f t="shared" si="564"/>
        <v>123</v>
      </c>
      <c r="C845" s="73" t="str">
        <v>SpareOfferD18</v>
      </c>
      <c r="D845" t="s">
        <v>170</v>
      </c>
      <c r="F845" s="235">
        <f t="shared" si="567"/>
        <v>0</v>
      </c>
      <c r="H845" s="87">
        <v>0</v>
      </c>
      <c r="J845" s="236">
        <f t="shared" si="565"/>
        <v>0</v>
      </c>
      <c r="K845" s="236">
        <f t="shared" si="565"/>
        <v>0</v>
      </c>
      <c r="L845" s="122">
        <f t="shared" si="566"/>
        <v>0</v>
      </c>
    </row>
    <row r="846" spans="2:12" hidden="1" outlineLevel="2">
      <c r="B846">
        <f t="shared" si="564"/>
        <v>124</v>
      </c>
      <c r="C846" s="73" t="str">
        <v>SpareOfferD19</v>
      </c>
      <c r="D846" t="s">
        <v>170</v>
      </c>
      <c r="F846" s="235">
        <f t="shared" si="567"/>
        <v>0</v>
      </c>
      <c r="H846" s="87">
        <v>0</v>
      </c>
      <c r="J846" s="236">
        <f t="shared" si="565"/>
        <v>0</v>
      </c>
      <c r="K846" s="236">
        <f t="shared" si="565"/>
        <v>0</v>
      </c>
      <c r="L846" s="122">
        <f t="shared" si="566"/>
        <v>0</v>
      </c>
    </row>
    <row r="847" spans="2:12" hidden="1" outlineLevel="2">
      <c r="B847">
        <f t="shared" si="564"/>
        <v>125</v>
      </c>
      <c r="C847" s="73" t="str">
        <v>SpareOfferD20</v>
      </c>
      <c r="D847" t="s">
        <v>170</v>
      </c>
      <c r="F847" s="235">
        <f t="shared" si="567"/>
        <v>0</v>
      </c>
      <c r="H847" s="87">
        <v>0</v>
      </c>
      <c r="J847" s="236">
        <f t="shared" si="565"/>
        <v>0</v>
      </c>
      <c r="K847" s="236">
        <f t="shared" si="565"/>
        <v>0</v>
      </c>
      <c r="L847" s="122">
        <f t="shared" si="566"/>
        <v>0</v>
      </c>
    </row>
    <row r="848" spans="2:12" hidden="1" outlineLevel="2">
      <c r="B848">
        <f t="shared" si="564"/>
        <v>126</v>
      </c>
      <c r="C848" s="73" t="str">
        <v>SpareOfferD21</v>
      </c>
      <c r="D848" t="s">
        <v>170</v>
      </c>
      <c r="F848" s="235">
        <f t="shared" si="567"/>
        <v>0</v>
      </c>
      <c r="H848" s="87">
        <v>0</v>
      </c>
      <c r="J848" s="236">
        <f t="shared" ref="J848:K862" si="568">INDEX(per.sub.volumes.by.demand.descriptions,$B848,J$824)</f>
        <v>0</v>
      </c>
      <c r="K848" s="236">
        <f t="shared" si="568"/>
        <v>0</v>
      </c>
      <c r="L848" s="122">
        <f t="shared" si="566"/>
        <v>0</v>
      </c>
    </row>
    <row r="849" spans="1:12" hidden="1" outlineLevel="2">
      <c r="B849">
        <f t="shared" si="564"/>
        <v>127</v>
      </c>
      <c r="C849" s="73" t="str">
        <v>SpareOfferD22</v>
      </c>
      <c r="D849" t="s">
        <v>170</v>
      </c>
      <c r="F849" s="235">
        <f t="shared" si="567"/>
        <v>0</v>
      </c>
      <c r="H849" s="87">
        <v>0</v>
      </c>
      <c r="J849" s="236">
        <f t="shared" si="568"/>
        <v>0</v>
      </c>
      <c r="K849" s="236">
        <f t="shared" si="568"/>
        <v>0</v>
      </c>
      <c r="L849" s="122">
        <f t="shared" si="566"/>
        <v>0</v>
      </c>
    </row>
    <row r="850" spans="1:12" hidden="1" outlineLevel="2">
      <c r="B850">
        <f t="shared" si="564"/>
        <v>128</v>
      </c>
      <c r="C850" s="73" t="str">
        <v>SpareOfferD23</v>
      </c>
      <c r="D850" t="s">
        <v>170</v>
      </c>
      <c r="F850" s="235">
        <f t="shared" si="567"/>
        <v>0</v>
      </c>
      <c r="H850" s="87">
        <v>0</v>
      </c>
      <c r="J850" s="236">
        <f t="shared" si="568"/>
        <v>0</v>
      </c>
      <c r="K850" s="236">
        <f t="shared" si="568"/>
        <v>0</v>
      </c>
      <c r="L850" s="122">
        <f t="shared" si="566"/>
        <v>0</v>
      </c>
    </row>
    <row r="851" spans="1:12" hidden="1" outlineLevel="2">
      <c r="B851">
        <f t="shared" si="564"/>
        <v>129</v>
      </c>
      <c r="C851" s="73" t="str">
        <v>SpareOfferD24</v>
      </c>
      <c r="D851" t="s">
        <v>170</v>
      </c>
      <c r="F851" s="235">
        <f t="shared" si="567"/>
        <v>0</v>
      </c>
      <c r="H851" s="87">
        <v>0</v>
      </c>
      <c r="J851" s="236">
        <f t="shared" si="568"/>
        <v>0</v>
      </c>
      <c r="K851" s="236">
        <f t="shared" si="568"/>
        <v>0</v>
      </c>
      <c r="L851" s="122">
        <f t="shared" si="566"/>
        <v>0</v>
      </c>
    </row>
    <row r="852" spans="1:12" hidden="1" outlineLevel="2">
      <c r="B852">
        <f t="shared" si="564"/>
        <v>130</v>
      </c>
      <c r="C852" s="73" t="str">
        <v>SpareOfferD25</v>
      </c>
      <c r="D852" t="s">
        <v>170</v>
      </c>
      <c r="F852" s="235">
        <f t="shared" si="567"/>
        <v>0</v>
      </c>
      <c r="H852" s="87">
        <v>0</v>
      </c>
      <c r="J852" s="236">
        <f t="shared" si="568"/>
        <v>0</v>
      </c>
      <c r="K852" s="236">
        <f t="shared" si="568"/>
        <v>0</v>
      </c>
      <c r="L852" s="122">
        <f t="shared" si="566"/>
        <v>0</v>
      </c>
    </row>
    <row r="853" spans="1:12" hidden="1" outlineLevel="2">
      <c r="B853">
        <f t="shared" si="564"/>
        <v>131</v>
      </c>
      <c r="C853" s="73" t="str">
        <v>SpareOfferD26</v>
      </c>
      <c r="D853" t="s">
        <v>170</v>
      </c>
      <c r="F853" s="235">
        <f t="shared" si="567"/>
        <v>0</v>
      </c>
      <c r="H853" s="87">
        <v>0</v>
      </c>
      <c r="J853" s="236">
        <f t="shared" si="568"/>
        <v>0</v>
      </c>
      <c r="K853" s="236">
        <f t="shared" si="568"/>
        <v>0</v>
      </c>
      <c r="L853" s="122">
        <f t="shared" si="566"/>
        <v>0</v>
      </c>
    </row>
    <row r="854" spans="1:12" hidden="1" outlineLevel="2">
      <c r="B854">
        <f t="shared" si="564"/>
        <v>132</v>
      </c>
      <c r="C854" s="73" t="str">
        <v>SpareOfferD27</v>
      </c>
      <c r="D854" t="s">
        <v>170</v>
      </c>
      <c r="F854" s="235">
        <f t="shared" si="567"/>
        <v>0</v>
      </c>
      <c r="H854" s="87">
        <v>0</v>
      </c>
      <c r="J854" s="236">
        <f t="shared" si="568"/>
        <v>0</v>
      </c>
      <c r="K854" s="236">
        <f t="shared" si="568"/>
        <v>0</v>
      </c>
      <c r="L854" s="122">
        <f t="shared" si="566"/>
        <v>0</v>
      </c>
    </row>
    <row r="855" spans="1:12" hidden="1" outlineLevel="2">
      <c r="B855">
        <f t="shared" si="564"/>
        <v>133</v>
      </c>
      <c r="C855" s="73" t="str">
        <v>SpareOfferD28</v>
      </c>
      <c r="D855" t="s">
        <v>170</v>
      </c>
      <c r="F855" s="235">
        <f t="shared" si="567"/>
        <v>0</v>
      </c>
      <c r="H855" s="87">
        <v>0</v>
      </c>
      <c r="J855" s="236">
        <f t="shared" si="568"/>
        <v>0</v>
      </c>
      <c r="K855" s="236">
        <f t="shared" si="568"/>
        <v>0</v>
      </c>
      <c r="L855" s="122">
        <f t="shared" si="566"/>
        <v>0</v>
      </c>
    </row>
    <row r="856" spans="1:12" hidden="1" outlineLevel="2">
      <c r="B856">
        <f t="shared" si="564"/>
        <v>134</v>
      </c>
      <c r="C856" s="73" t="str">
        <v>SpareOfferD29</v>
      </c>
      <c r="D856" t="s">
        <v>170</v>
      </c>
      <c r="F856" s="235">
        <f t="shared" si="567"/>
        <v>0</v>
      </c>
      <c r="H856" s="87">
        <v>0</v>
      </c>
      <c r="J856" s="236">
        <f t="shared" si="568"/>
        <v>0</v>
      </c>
      <c r="K856" s="236">
        <f t="shared" si="568"/>
        <v>0</v>
      </c>
      <c r="L856" s="122">
        <f t="shared" si="566"/>
        <v>0</v>
      </c>
    </row>
    <row r="857" spans="1:12" hidden="1" outlineLevel="2">
      <c r="B857">
        <f t="shared" si="564"/>
        <v>135</v>
      </c>
      <c r="C857" s="73" t="str">
        <v>SpareOfferD30</v>
      </c>
      <c r="D857" t="s">
        <v>170</v>
      </c>
      <c r="F857" s="235">
        <f t="shared" si="567"/>
        <v>0</v>
      </c>
      <c r="H857" s="87">
        <v>0</v>
      </c>
      <c r="J857" s="236">
        <f t="shared" si="568"/>
        <v>0</v>
      </c>
      <c r="K857" s="236">
        <f t="shared" si="568"/>
        <v>0</v>
      </c>
      <c r="L857" s="122">
        <f t="shared" si="566"/>
        <v>0</v>
      </c>
    </row>
    <row r="858" spans="1:12" hidden="1" outlineLevel="2">
      <c r="B858">
        <f t="shared" si="564"/>
        <v>136</v>
      </c>
      <c r="C858" s="73" t="str">
        <v>SpareOfferD31</v>
      </c>
      <c r="D858" t="s">
        <v>170</v>
      </c>
      <c r="F858" s="235">
        <f t="shared" si="567"/>
        <v>0</v>
      </c>
      <c r="H858" s="87">
        <v>0</v>
      </c>
      <c r="J858" s="236">
        <f t="shared" si="568"/>
        <v>0</v>
      </c>
      <c r="K858" s="236">
        <f t="shared" si="568"/>
        <v>0</v>
      </c>
      <c r="L858" s="122">
        <f t="shared" si="566"/>
        <v>0</v>
      </c>
    </row>
    <row r="859" spans="1:12" hidden="1" outlineLevel="2">
      <c r="B859">
        <f t="shared" si="564"/>
        <v>137</v>
      </c>
      <c r="C859" s="73" t="str">
        <v>SpareOfferD32</v>
      </c>
      <c r="D859" t="s">
        <v>170</v>
      </c>
      <c r="F859" s="235">
        <f t="shared" si="567"/>
        <v>0</v>
      </c>
      <c r="H859" s="87">
        <v>0</v>
      </c>
      <c r="J859" s="236">
        <f t="shared" si="568"/>
        <v>0</v>
      </c>
      <c r="K859" s="236">
        <f t="shared" si="568"/>
        <v>0</v>
      </c>
      <c r="L859" s="122">
        <f t="shared" si="566"/>
        <v>0</v>
      </c>
    </row>
    <row r="860" spans="1:12" hidden="1" outlineLevel="2">
      <c r="B860">
        <f t="shared" si="564"/>
        <v>138</v>
      </c>
      <c r="C860" s="73" t="str">
        <v>SpareOfferD33</v>
      </c>
      <c r="D860" t="s">
        <v>170</v>
      </c>
      <c r="F860" s="235">
        <f t="shared" si="567"/>
        <v>0</v>
      </c>
      <c r="H860" s="87">
        <v>0</v>
      </c>
      <c r="J860" s="236">
        <f t="shared" si="568"/>
        <v>0</v>
      </c>
      <c r="K860" s="236">
        <f t="shared" si="568"/>
        <v>0</v>
      </c>
      <c r="L860" s="122">
        <f t="shared" si="566"/>
        <v>0</v>
      </c>
    </row>
    <row r="861" spans="1:12" hidden="1" outlineLevel="2">
      <c r="B861">
        <f t="shared" si="564"/>
        <v>139</v>
      </c>
      <c r="C861" s="73" t="str">
        <v>SpareOfferD34</v>
      </c>
      <c r="D861" t="s">
        <v>170</v>
      </c>
      <c r="F861" s="235">
        <f t="shared" si="567"/>
        <v>0</v>
      </c>
      <c r="H861" s="87">
        <v>0</v>
      </c>
      <c r="J861" s="236">
        <f t="shared" si="568"/>
        <v>0</v>
      </c>
      <c r="K861" s="236">
        <f t="shared" si="568"/>
        <v>0</v>
      </c>
      <c r="L861" s="122">
        <f t="shared" si="566"/>
        <v>0</v>
      </c>
    </row>
    <row r="862" spans="1:12" outlineLevel="1" collapsed="1">
      <c r="B862">
        <f t="shared" si="564"/>
        <v>140</v>
      </c>
      <c r="C862" s="73" t="str">
        <v>-</v>
      </c>
      <c r="D862" t="s">
        <v>170</v>
      </c>
      <c r="F862" s="235">
        <f t="shared" si="567"/>
        <v>0</v>
      </c>
      <c r="H862" s="87">
        <v>0</v>
      </c>
      <c r="J862" s="236">
        <f t="shared" si="568"/>
        <v>0</v>
      </c>
      <c r="K862" s="236">
        <f t="shared" si="568"/>
        <v>0</v>
      </c>
      <c r="L862" s="122">
        <f t="shared" si="566"/>
        <v>0</v>
      </c>
    </row>
    <row r="864" spans="1:12" ht="15.5">
      <c r="A864" s="36" t="s">
        <v>515</v>
      </c>
    </row>
    <row r="866" spans="1:6" s="220" customFormat="1">
      <c r="A866" s="220">
        <v>1</v>
      </c>
      <c r="B866" s="221" t="str">
        <f>INDEX(segments,A866)</f>
        <v>Residential</v>
      </c>
      <c r="C866" s="207"/>
    </row>
    <row r="867" spans="1:6" outlineLevel="1"/>
    <row r="868" spans="1:6" outlineLevel="1">
      <c r="F868" s="127" t="s">
        <v>190</v>
      </c>
    </row>
    <row r="869" spans="1:6" outlineLevel="1">
      <c r="C869" s="73" t="str">
        <f t="array" ref="C869:C903">offers.segment.1</f>
        <v>SpareOfferA1</v>
      </c>
      <c r="D869" t="s">
        <v>301</v>
      </c>
      <c r="F869" s="156">
        <f>F60+F396+F690</f>
        <v>0</v>
      </c>
    </row>
    <row r="870" spans="1:6" hidden="1" outlineLevel="2">
      <c r="C870" s="73" t="str">
        <v>SpareOfferA2</v>
      </c>
      <c r="D870" t="s">
        <v>301</v>
      </c>
      <c r="F870" s="156">
        <f t="shared" ref="F870:F903" si="569">F61+F397+F691</f>
        <v>0</v>
      </c>
    </row>
    <row r="871" spans="1:6" hidden="1" outlineLevel="2">
      <c r="C871" s="73" t="str">
        <v>SpareOfferA3</v>
      </c>
      <c r="D871" t="s">
        <v>301</v>
      </c>
      <c r="F871" s="156">
        <f t="shared" si="569"/>
        <v>0</v>
      </c>
    </row>
    <row r="872" spans="1:6" hidden="1" outlineLevel="2">
      <c r="C872" s="73" t="str">
        <v>SpareOfferA4</v>
      </c>
      <c r="D872" t="s">
        <v>301</v>
      </c>
      <c r="F872" s="156">
        <f t="shared" si="569"/>
        <v>0</v>
      </c>
    </row>
    <row r="873" spans="1:6" hidden="1" outlineLevel="2">
      <c r="C873" s="73" t="str">
        <v>SpareOfferA5</v>
      </c>
      <c r="D873" t="s">
        <v>301</v>
      </c>
      <c r="F873" s="156">
        <f t="shared" si="569"/>
        <v>0</v>
      </c>
    </row>
    <row r="874" spans="1:6" hidden="1" outlineLevel="2">
      <c r="C874" s="73" t="str">
        <v>SpareOfferA6</v>
      </c>
      <c r="D874" t="s">
        <v>301</v>
      </c>
      <c r="F874" s="156">
        <f t="shared" si="569"/>
        <v>0</v>
      </c>
    </row>
    <row r="875" spans="1:6" hidden="1" outlineLevel="2">
      <c r="C875" s="73" t="str">
        <v>SpareOfferA7</v>
      </c>
      <c r="D875" t="s">
        <v>301</v>
      </c>
      <c r="F875" s="156">
        <f t="shared" si="569"/>
        <v>0</v>
      </c>
    </row>
    <row r="876" spans="1:6" hidden="1" outlineLevel="2">
      <c r="C876" s="73" t="str">
        <v>SpareOfferA8</v>
      </c>
      <c r="D876" t="s">
        <v>301</v>
      </c>
      <c r="F876" s="156">
        <f t="shared" si="569"/>
        <v>0</v>
      </c>
    </row>
    <row r="877" spans="1:6" hidden="1" outlineLevel="2">
      <c r="C877" s="73" t="str">
        <v>SpareOfferA9</v>
      </c>
      <c r="D877" t="s">
        <v>301</v>
      </c>
      <c r="F877" s="156">
        <f t="shared" si="569"/>
        <v>0</v>
      </c>
    </row>
    <row r="878" spans="1:6" hidden="1" outlineLevel="2">
      <c r="C878" s="73" t="str">
        <v>SpareOfferA10</v>
      </c>
      <c r="D878" t="s">
        <v>301</v>
      </c>
      <c r="F878" s="156">
        <f t="shared" si="569"/>
        <v>0</v>
      </c>
    </row>
    <row r="879" spans="1:6" hidden="1" outlineLevel="2">
      <c r="C879" s="73" t="str">
        <v>SpareOfferA11</v>
      </c>
      <c r="D879" t="s">
        <v>301</v>
      </c>
      <c r="F879" s="156">
        <f t="shared" si="569"/>
        <v>0</v>
      </c>
    </row>
    <row r="880" spans="1:6" hidden="1" outlineLevel="2">
      <c r="C880" s="73" t="str">
        <v>SpareOfferA12</v>
      </c>
      <c r="D880" t="s">
        <v>301</v>
      </c>
      <c r="F880" s="156">
        <f t="shared" si="569"/>
        <v>0</v>
      </c>
    </row>
    <row r="881" spans="3:6" hidden="1" outlineLevel="2">
      <c r="C881" s="73" t="str">
        <v>SpareOfferA13</v>
      </c>
      <c r="D881" t="s">
        <v>301</v>
      </c>
      <c r="F881" s="156">
        <f t="shared" si="569"/>
        <v>0</v>
      </c>
    </row>
    <row r="882" spans="3:6" hidden="1" outlineLevel="2">
      <c r="C882" s="73" t="str">
        <v>SpareOfferA14</v>
      </c>
      <c r="D882" t="s">
        <v>301</v>
      </c>
      <c r="F882" s="156">
        <f t="shared" si="569"/>
        <v>0</v>
      </c>
    </row>
    <row r="883" spans="3:6" hidden="1" outlineLevel="2">
      <c r="C883" s="73" t="str">
        <v>SpareOfferA15</v>
      </c>
      <c r="D883" t="s">
        <v>301</v>
      </c>
      <c r="F883" s="156">
        <f t="shared" si="569"/>
        <v>0</v>
      </c>
    </row>
    <row r="884" spans="3:6" hidden="1" outlineLevel="2">
      <c r="C884" s="73" t="str">
        <v>SpareOfferA16</v>
      </c>
      <c r="D884" t="s">
        <v>301</v>
      </c>
      <c r="F884" s="156">
        <f t="shared" si="569"/>
        <v>0</v>
      </c>
    </row>
    <row r="885" spans="3:6" hidden="1" outlineLevel="2">
      <c r="C885" s="73" t="str">
        <v>SpareOfferA17</v>
      </c>
      <c r="D885" t="s">
        <v>301</v>
      </c>
      <c r="F885" s="156">
        <f t="shared" si="569"/>
        <v>0</v>
      </c>
    </row>
    <row r="886" spans="3:6" hidden="1" outlineLevel="2">
      <c r="C886" s="73" t="str">
        <v>SpareOfferA18</v>
      </c>
      <c r="D886" t="s">
        <v>301</v>
      </c>
      <c r="F886" s="156">
        <f t="shared" si="569"/>
        <v>0</v>
      </c>
    </row>
    <row r="887" spans="3:6" hidden="1" outlineLevel="2">
      <c r="C887" s="73" t="str">
        <v>SpareOfferA19</v>
      </c>
      <c r="D887" t="s">
        <v>301</v>
      </c>
      <c r="F887" s="156">
        <f t="shared" si="569"/>
        <v>0</v>
      </c>
    </row>
    <row r="888" spans="3:6" hidden="1" outlineLevel="2">
      <c r="C888" s="73" t="str">
        <v>SpareOfferA20</v>
      </c>
      <c r="D888" t="s">
        <v>301</v>
      </c>
      <c r="F888" s="156">
        <f t="shared" si="569"/>
        <v>0</v>
      </c>
    </row>
    <row r="889" spans="3:6" hidden="1" outlineLevel="2">
      <c r="C889" s="73" t="str">
        <v>SpareOfferA21</v>
      </c>
      <c r="D889" t="s">
        <v>301</v>
      </c>
      <c r="F889" s="156">
        <f t="shared" si="569"/>
        <v>0</v>
      </c>
    </row>
    <row r="890" spans="3:6" hidden="1" outlineLevel="2">
      <c r="C890" s="73" t="str">
        <v>SpareOfferA22</v>
      </c>
      <c r="D890" t="s">
        <v>301</v>
      </c>
      <c r="F890" s="156">
        <f t="shared" si="569"/>
        <v>0</v>
      </c>
    </row>
    <row r="891" spans="3:6" hidden="1" outlineLevel="2">
      <c r="C891" s="73" t="str">
        <v>SpareOfferA23</v>
      </c>
      <c r="D891" t="s">
        <v>301</v>
      </c>
      <c r="F891" s="156">
        <f t="shared" si="569"/>
        <v>0</v>
      </c>
    </row>
    <row r="892" spans="3:6" hidden="1" outlineLevel="2">
      <c r="C892" s="73" t="str">
        <v>SpareOfferA24</v>
      </c>
      <c r="D892" t="s">
        <v>301</v>
      </c>
      <c r="F892" s="156">
        <f t="shared" si="569"/>
        <v>0</v>
      </c>
    </row>
    <row r="893" spans="3:6" hidden="1" outlineLevel="2">
      <c r="C893" s="73" t="str">
        <v>SpareOfferA25</v>
      </c>
      <c r="D893" t="s">
        <v>301</v>
      </c>
      <c r="F893" s="156">
        <f t="shared" si="569"/>
        <v>0</v>
      </c>
    </row>
    <row r="894" spans="3:6" hidden="1" outlineLevel="2">
      <c r="C894" s="73" t="str">
        <v>SpareOfferA26</v>
      </c>
      <c r="D894" t="s">
        <v>301</v>
      </c>
      <c r="F894" s="156">
        <f t="shared" si="569"/>
        <v>0</v>
      </c>
    </row>
    <row r="895" spans="3:6" hidden="1" outlineLevel="2">
      <c r="C895" s="73" t="str">
        <v>SpareOfferA27</v>
      </c>
      <c r="D895" t="s">
        <v>301</v>
      </c>
      <c r="F895" s="156">
        <f t="shared" si="569"/>
        <v>0</v>
      </c>
    </row>
    <row r="896" spans="3:6" hidden="1" outlineLevel="2">
      <c r="C896" s="73" t="str">
        <v>SpareOfferA28</v>
      </c>
      <c r="D896" t="s">
        <v>301</v>
      </c>
      <c r="F896" s="156">
        <f t="shared" si="569"/>
        <v>0</v>
      </c>
    </row>
    <row r="897" spans="1:6" hidden="1" outlineLevel="2">
      <c r="C897" s="73" t="str">
        <v>SpareOfferA29</v>
      </c>
      <c r="D897" t="s">
        <v>301</v>
      </c>
      <c r="F897" s="156">
        <f t="shared" si="569"/>
        <v>0</v>
      </c>
    </row>
    <row r="898" spans="1:6" hidden="1" outlineLevel="2">
      <c r="C898" s="73" t="str">
        <v>SpareOfferA30</v>
      </c>
      <c r="D898" t="s">
        <v>301</v>
      </c>
      <c r="F898" s="156">
        <f t="shared" si="569"/>
        <v>0</v>
      </c>
    </row>
    <row r="899" spans="1:6" hidden="1" outlineLevel="2">
      <c r="C899" s="73" t="str">
        <v>SpareOfferA31</v>
      </c>
      <c r="D899" t="s">
        <v>301</v>
      </c>
      <c r="F899" s="156">
        <f t="shared" si="569"/>
        <v>0</v>
      </c>
    </row>
    <row r="900" spans="1:6" hidden="1" outlineLevel="2">
      <c r="C900" s="73" t="str">
        <v>SpareOfferA32</v>
      </c>
      <c r="D900" t="s">
        <v>301</v>
      </c>
      <c r="F900" s="156">
        <f t="shared" si="569"/>
        <v>0</v>
      </c>
    </row>
    <row r="901" spans="1:6" hidden="1" outlineLevel="2">
      <c r="C901" s="73" t="str">
        <v>SpareOfferA33</v>
      </c>
      <c r="D901" t="s">
        <v>301</v>
      </c>
      <c r="F901" s="156">
        <f t="shared" si="569"/>
        <v>0</v>
      </c>
    </row>
    <row r="902" spans="1:6" hidden="1" outlineLevel="2">
      <c r="C902" s="73" t="str">
        <v>SpareOfferA34</v>
      </c>
      <c r="D902" t="s">
        <v>301</v>
      </c>
      <c r="F902" s="156">
        <f t="shared" si="569"/>
        <v>0</v>
      </c>
    </row>
    <row r="903" spans="1:6" outlineLevel="1" collapsed="1">
      <c r="C903" s="73" t="str">
        <v>SpareOfferA35</v>
      </c>
      <c r="D903" t="s">
        <v>301</v>
      </c>
      <c r="F903" s="156">
        <f t="shared" si="569"/>
        <v>0</v>
      </c>
    </row>
    <row r="904" spans="1:6" ht="12" outlineLevel="1">
      <c r="F904" s="43" t="s">
        <v>248</v>
      </c>
    </row>
    <row r="906" spans="1:6" s="220" customFormat="1">
      <c r="A906" s="220">
        <v>2</v>
      </c>
      <c r="B906" s="221" t="str">
        <f>INDEX(segments,A906)</f>
        <v>Business</v>
      </c>
      <c r="C906" s="207"/>
    </row>
    <row r="907" spans="1:6" outlineLevel="1"/>
    <row r="908" spans="1:6" outlineLevel="1">
      <c r="F908" s="127" t="s">
        <v>190</v>
      </c>
    </row>
    <row r="909" spans="1:6" outlineLevel="1">
      <c r="C909" s="73" t="str">
        <f t="array" ref="C909:C943">offers.segment.2</f>
        <v>SpareOfferB1</v>
      </c>
      <c r="D909" t="s">
        <v>301</v>
      </c>
      <c r="F909" s="156">
        <f>F144+F478+F736</f>
        <v>0</v>
      </c>
    </row>
    <row r="910" spans="1:6" hidden="1" outlineLevel="2">
      <c r="C910" s="73" t="str">
        <v>SpareOfferB2</v>
      </c>
      <c r="D910" t="s">
        <v>301</v>
      </c>
      <c r="F910" s="156">
        <f t="shared" ref="F910:F943" si="570">F145+F479+F737</f>
        <v>0</v>
      </c>
    </row>
    <row r="911" spans="1:6" hidden="1" outlineLevel="2">
      <c r="C911" s="73" t="str">
        <v>SpareOfferB3</v>
      </c>
      <c r="D911" t="s">
        <v>301</v>
      </c>
      <c r="F911" s="156">
        <f t="shared" si="570"/>
        <v>0</v>
      </c>
    </row>
    <row r="912" spans="1:6" hidden="1" outlineLevel="2">
      <c r="C912" s="73" t="str">
        <v>SpareOfferB4</v>
      </c>
      <c r="D912" t="s">
        <v>301</v>
      </c>
      <c r="F912" s="156">
        <f t="shared" si="570"/>
        <v>0</v>
      </c>
    </row>
    <row r="913" spans="3:6" hidden="1" outlineLevel="2">
      <c r="C913" s="73" t="str">
        <v>SpareOfferB5</v>
      </c>
      <c r="D913" t="s">
        <v>301</v>
      </c>
      <c r="F913" s="156">
        <f t="shared" si="570"/>
        <v>0</v>
      </c>
    </row>
    <row r="914" spans="3:6" hidden="1" outlineLevel="2">
      <c r="C914" s="73" t="str">
        <v>SpareOfferB6</v>
      </c>
      <c r="D914" t="s">
        <v>301</v>
      </c>
      <c r="F914" s="156">
        <f t="shared" si="570"/>
        <v>0</v>
      </c>
    </row>
    <row r="915" spans="3:6" hidden="1" outlineLevel="2">
      <c r="C915" s="73" t="str">
        <v>SpareOfferB7</v>
      </c>
      <c r="D915" t="s">
        <v>301</v>
      </c>
      <c r="F915" s="156">
        <f t="shared" si="570"/>
        <v>0</v>
      </c>
    </row>
    <row r="916" spans="3:6" hidden="1" outlineLevel="2">
      <c r="C916" s="73" t="str">
        <v>SpareOfferB8</v>
      </c>
      <c r="D916" t="s">
        <v>301</v>
      </c>
      <c r="F916" s="156">
        <f t="shared" si="570"/>
        <v>0</v>
      </c>
    </row>
    <row r="917" spans="3:6" hidden="1" outlineLevel="2">
      <c r="C917" s="73" t="str">
        <v>SpareOfferB9</v>
      </c>
      <c r="D917" t="s">
        <v>301</v>
      </c>
      <c r="F917" s="156">
        <f t="shared" si="570"/>
        <v>0</v>
      </c>
    </row>
    <row r="918" spans="3:6" hidden="1" outlineLevel="2">
      <c r="C918" s="73" t="str">
        <v>SpareOfferB10</v>
      </c>
      <c r="D918" t="s">
        <v>301</v>
      </c>
      <c r="F918" s="156">
        <f t="shared" si="570"/>
        <v>0</v>
      </c>
    </row>
    <row r="919" spans="3:6" hidden="1" outlineLevel="2">
      <c r="C919" s="73" t="str">
        <v>SpareOfferB11</v>
      </c>
      <c r="D919" t="s">
        <v>301</v>
      </c>
      <c r="F919" s="156">
        <f t="shared" si="570"/>
        <v>0</v>
      </c>
    </row>
    <row r="920" spans="3:6" hidden="1" outlineLevel="2">
      <c r="C920" s="73" t="str">
        <v>SpareOfferB12</v>
      </c>
      <c r="D920" t="s">
        <v>301</v>
      </c>
      <c r="F920" s="156">
        <f t="shared" si="570"/>
        <v>0</v>
      </c>
    </row>
    <row r="921" spans="3:6" hidden="1" outlineLevel="2">
      <c r="C921" s="73" t="str">
        <v>SpareOfferB13</v>
      </c>
      <c r="D921" t="s">
        <v>301</v>
      </c>
      <c r="F921" s="156">
        <f t="shared" si="570"/>
        <v>0</v>
      </c>
    </row>
    <row r="922" spans="3:6" hidden="1" outlineLevel="2">
      <c r="C922" s="73" t="str">
        <v>SpareOfferB14</v>
      </c>
      <c r="D922" t="s">
        <v>301</v>
      </c>
      <c r="F922" s="156">
        <f t="shared" si="570"/>
        <v>0</v>
      </c>
    </row>
    <row r="923" spans="3:6" hidden="1" outlineLevel="2">
      <c r="C923" s="73" t="str">
        <v>SpareOfferB15</v>
      </c>
      <c r="D923" t="s">
        <v>301</v>
      </c>
      <c r="F923" s="156">
        <f t="shared" si="570"/>
        <v>0</v>
      </c>
    </row>
    <row r="924" spans="3:6" hidden="1" outlineLevel="2">
      <c r="C924" s="73" t="str">
        <v>SpareOfferB16</v>
      </c>
      <c r="D924" t="s">
        <v>301</v>
      </c>
      <c r="F924" s="156">
        <f t="shared" si="570"/>
        <v>0</v>
      </c>
    </row>
    <row r="925" spans="3:6" hidden="1" outlineLevel="2">
      <c r="C925" s="73" t="str">
        <v>SpareOfferB17</v>
      </c>
      <c r="D925" t="s">
        <v>301</v>
      </c>
      <c r="F925" s="156">
        <f t="shared" si="570"/>
        <v>0</v>
      </c>
    </row>
    <row r="926" spans="3:6" hidden="1" outlineLevel="2">
      <c r="C926" s="73" t="str">
        <v>SpareOfferB18</v>
      </c>
      <c r="D926" t="s">
        <v>301</v>
      </c>
      <c r="F926" s="156">
        <f t="shared" si="570"/>
        <v>0</v>
      </c>
    </row>
    <row r="927" spans="3:6" hidden="1" outlineLevel="2">
      <c r="C927" s="73" t="str">
        <v>SpareOfferB19</v>
      </c>
      <c r="D927" t="s">
        <v>301</v>
      </c>
      <c r="F927" s="156">
        <f t="shared" si="570"/>
        <v>0</v>
      </c>
    </row>
    <row r="928" spans="3:6" hidden="1" outlineLevel="2">
      <c r="C928" s="73" t="str">
        <v>SpareOfferB20</v>
      </c>
      <c r="D928" t="s">
        <v>301</v>
      </c>
      <c r="F928" s="156">
        <f t="shared" si="570"/>
        <v>0</v>
      </c>
    </row>
    <row r="929" spans="3:6" hidden="1" outlineLevel="2">
      <c r="C929" s="73" t="str">
        <v>SpareOfferB21</v>
      </c>
      <c r="D929" t="s">
        <v>301</v>
      </c>
      <c r="F929" s="156">
        <f t="shared" si="570"/>
        <v>0</v>
      </c>
    </row>
    <row r="930" spans="3:6" hidden="1" outlineLevel="2">
      <c r="C930" s="73" t="str">
        <v>SpareOfferB22</v>
      </c>
      <c r="D930" t="s">
        <v>301</v>
      </c>
      <c r="F930" s="156">
        <f t="shared" si="570"/>
        <v>0</v>
      </c>
    </row>
    <row r="931" spans="3:6" hidden="1" outlineLevel="2">
      <c r="C931" s="73" t="str">
        <v>SpareOfferB23</v>
      </c>
      <c r="D931" t="s">
        <v>301</v>
      </c>
      <c r="F931" s="156">
        <f t="shared" si="570"/>
        <v>0</v>
      </c>
    </row>
    <row r="932" spans="3:6" hidden="1" outlineLevel="2">
      <c r="C932" s="73" t="str">
        <v>SpareOfferB24</v>
      </c>
      <c r="D932" t="s">
        <v>301</v>
      </c>
      <c r="F932" s="156">
        <f t="shared" si="570"/>
        <v>0</v>
      </c>
    </row>
    <row r="933" spans="3:6" hidden="1" outlineLevel="2">
      <c r="C933" s="73" t="str">
        <v>SpareOfferB25</v>
      </c>
      <c r="D933" t="s">
        <v>301</v>
      </c>
      <c r="F933" s="156">
        <f t="shared" si="570"/>
        <v>0</v>
      </c>
    </row>
    <row r="934" spans="3:6" hidden="1" outlineLevel="2">
      <c r="C934" s="73" t="str">
        <v>SpareOfferB26</v>
      </c>
      <c r="D934" t="s">
        <v>301</v>
      </c>
      <c r="F934" s="156">
        <f t="shared" si="570"/>
        <v>0</v>
      </c>
    </row>
    <row r="935" spans="3:6" hidden="1" outlineLevel="2">
      <c r="C935" s="73" t="str">
        <v>SpareOfferB27</v>
      </c>
      <c r="D935" t="s">
        <v>301</v>
      </c>
      <c r="F935" s="156">
        <f t="shared" si="570"/>
        <v>0</v>
      </c>
    </row>
    <row r="936" spans="3:6" hidden="1" outlineLevel="2">
      <c r="C936" s="73" t="str">
        <v>SpareOfferB28</v>
      </c>
      <c r="D936" t="s">
        <v>301</v>
      </c>
      <c r="F936" s="156">
        <f t="shared" si="570"/>
        <v>0</v>
      </c>
    </row>
    <row r="937" spans="3:6" hidden="1" outlineLevel="2">
      <c r="C937" s="73" t="str">
        <v>SpareOfferB29</v>
      </c>
      <c r="D937" t="s">
        <v>301</v>
      </c>
      <c r="F937" s="156">
        <f t="shared" si="570"/>
        <v>0</v>
      </c>
    </row>
    <row r="938" spans="3:6" hidden="1" outlineLevel="2">
      <c r="C938" s="73" t="str">
        <v>SpareOfferB30</v>
      </c>
      <c r="D938" t="s">
        <v>301</v>
      </c>
      <c r="F938" s="156">
        <f t="shared" si="570"/>
        <v>0</v>
      </c>
    </row>
    <row r="939" spans="3:6" hidden="1" outlineLevel="2">
      <c r="C939" s="73" t="str">
        <v>SpareOfferB31</v>
      </c>
      <c r="D939" t="s">
        <v>301</v>
      </c>
      <c r="F939" s="156">
        <f t="shared" si="570"/>
        <v>0</v>
      </c>
    </row>
    <row r="940" spans="3:6" hidden="1" outlineLevel="2">
      <c r="C940" s="73" t="str">
        <v>SpareOfferB32</v>
      </c>
      <c r="D940" t="s">
        <v>301</v>
      </c>
      <c r="F940" s="156">
        <f t="shared" si="570"/>
        <v>0</v>
      </c>
    </row>
    <row r="941" spans="3:6" hidden="1" outlineLevel="2">
      <c r="C941" s="73" t="str">
        <v>SpareOfferB33</v>
      </c>
      <c r="D941" t="s">
        <v>301</v>
      </c>
      <c r="F941" s="156">
        <f t="shared" si="570"/>
        <v>0</v>
      </c>
    </row>
    <row r="942" spans="3:6" hidden="1" outlineLevel="2">
      <c r="C942" s="73" t="str">
        <v>SpareOfferB34</v>
      </c>
      <c r="D942" t="s">
        <v>301</v>
      </c>
      <c r="F942" s="156">
        <f t="shared" si="570"/>
        <v>0</v>
      </c>
    </row>
    <row r="943" spans="3:6" outlineLevel="1" collapsed="1">
      <c r="C943" s="73" t="str">
        <v>SpareOfferB35</v>
      </c>
      <c r="D943" t="s">
        <v>301</v>
      </c>
      <c r="F943" s="156">
        <f t="shared" si="570"/>
        <v>0</v>
      </c>
    </row>
    <row r="944" spans="3:6" ht="12" outlineLevel="1">
      <c r="F944" s="43" t="s">
        <v>259</v>
      </c>
    </row>
    <row r="946" spans="1:6" s="220" customFormat="1">
      <c r="A946" s="220">
        <v>3</v>
      </c>
      <c r="B946" s="221" t="str">
        <f>INDEX(segments,A946)</f>
        <v>SpareSegmentC</v>
      </c>
      <c r="C946" s="207"/>
    </row>
    <row r="947" spans="1:6" outlineLevel="1"/>
    <row r="948" spans="1:6" outlineLevel="1">
      <c r="F948" s="127" t="s">
        <v>190</v>
      </c>
    </row>
    <row r="949" spans="1:6" outlineLevel="1">
      <c r="C949" s="73" t="str">
        <f t="array" ref="C949:C983">offers.segment.3</f>
        <v>SpareOfferC1</v>
      </c>
      <c r="D949" t="s">
        <v>301</v>
      </c>
      <c r="F949" s="156">
        <f>F228+F560+F782</f>
        <v>0</v>
      </c>
    </row>
    <row r="950" spans="1:6" hidden="1" outlineLevel="2">
      <c r="C950" s="73" t="str">
        <v>SpareOfferC2</v>
      </c>
      <c r="D950" t="s">
        <v>301</v>
      </c>
      <c r="F950" s="156">
        <f t="shared" ref="F950:F983" si="571">F229+F561+F783</f>
        <v>0</v>
      </c>
    </row>
    <row r="951" spans="1:6" hidden="1" outlineLevel="2">
      <c r="C951" s="73" t="str">
        <v>SpareOfferC3</v>
      </c>
      <c r="D951" t="s">
        <v>301</v>
      </c>
      <c r="F951" s="156">
        <f t="shared" si="571"/>
        <v>0</v>
      </c>
    </row>
    <row r="952" spans="1:6" hidden="1" outlineLevel="2">
      <c r="C952" s="73" t="str">
        <v>SpareOfferC4</v>
      </c>
      <c r="D952" t="s">
        <v>301</v>
      </c>
      <c r="F952" s="156">
        <f t="shared" si="571"/>
        <v>0</v>
      </c>
    </row>
    <row r="953" spans="1:6" hidden="1" outlineLevel="2">
      <c r="C953" s="73" t="str">
        <v>SpareOfferC5</v>
      </c>
      <c r="D953" t="s">
        <v>301</v>
      </c>
      <c r="F953" s="156">
        <f t="shared" si="571"/>
        <v>0</v>
      </c>
    </row>
    <row r="954" spans="1:6" hidden="1" outlineLevel="2">
      <c r="C954" s="73" t="str">
        <v>SpareOfferC6</v>
      </c>
      <c r="D954" t="s">
        <v>301</v>
      </c>
      <c r="F954" s="156">
        <f t="shared" si="571"/>
        <v>0</v>
      </c>
    </row>
    <row r="955" spans="1:6" hidden="1" outlineLevel="2">
      <c r="C955" s="73" t="str">
        <v>SpareOfferC7</v>
      </c>
      <c r="D955" t="s">
        <v>301</v>
      </c>
      <c r="F955" s="156">
        <f t="shared" si="571"/>
        <v>0</v>
      </c>
    </row>
    <row r="956" spans="1:6" hidden="1" outlineLevel="2">
      <c r="C956" s="73" t="str">
        <v>SpareOfferC8</v>
      </c>
      <c r="D956" t="s">
        <v>301</v>
      </c>
      <c r="F956" s="156">
        <f t="shared" si="571"/>
        <v>0</v>
      </c>
    </row>
    <row r="957" spans="1:6" hidden="1" outlineLevel="2">
      <c r="C957" s="73" t="str">
        <v>SpareOfferC9</v>
      </c>
      <c r="D957" t="s">
        <v>301</v>
      </c>
      <c r="F957" s="156">
        <f t="shared" si="571"/>
        <v>0</v>
      </c>
    </row>
    <row r="958" spans="1:6" hidden="1" outlineLevel="2">
      <c r="C958" s="73" t="str">
        <v>SpareOfferC10</v>
      </c>
      <c r="D958" t="s">
        <v>301</v>
      </c>
      <c r="F958" s="156">
        <f t="shared" si="571"/>
        <v>0</v>
      </c>
    </row>
    <row r="959" spans="1:6" hidden="1" outlineLevel="2">
      <c r="C959" s="73" t="str">
        <v>SpareOfferC11</v>
      </c>
      <c r="D959" t="s">
        <v>301</v>
      </c>
      <c r="F959" s="156">
        <f t="shared" si="571"/>
        <v>0</v>
      </c>
    </row>
    <row r="960" spans="1:6" hidden="1" outlineLevel="2">
      <c r="C960" s="73" t="str">
        <v>SpareOfferC12</v>
      </c>
      <c r="D960" t="s">
        <v>301</v>
      </c>
      <c r="F960" s="156">
        <f t="shared" si="571"/>
        <v>0</v>
      </c>
    </row>
    <row r="961" spans="3:6" hidden="1" outlineLevel="2">
      <c r="C961" s="73" t="str">
        <v>SpareOfferC13</v>
      </c>
      <c r="D961" t="s">
        <v>301</v>
      </c>
      <c r="F961" s="156">
        <f t="shared" si="571"/>
        <v>0</v>
      </c>
    </row>
    <row r="962" spans="3:6" hidden="1" outlineLevel="2">
      <c r="C962" s="73" t="str">
        <v>SpareOfferC14</v>
      </c>
      <c r="D962" t="s">
        <v>301</v>
      </c>
      <c r="F962" s="156">
        <f t="shared" si="571"/>
        <v>0</v>
      </c>
    </row>
    <row r="963" spans="3:6" hidden="1" outlineLevel="2">
      <c r="C963" s="73" t="str">
        <v>SpareOfferC15</v>
      </c>
      <c r="D963" t="s">
        <v>301</v>
      </c>
      <c r="F963" s="156">
        <f t="shared" si="571"/>
        <v>0</v>
      </c>
    </row>
    <row r="964" spans="3:6" hidden="1" outlineLevel="2">
      <c r="C964" s="73" t="str">
        <v>SpareOfferC16</v>
      </c>
      <c r="D964" t="s">
        <v>301</v>
      </c>
      <c r="F964" s="156">
        <f t="shared" si="571"/>
        <v>0</v>
      </c>
    </row>
    <row r="965" spans="3:6" hidden="1" outlineLevel="2">
      <c r="C965" s="73" t="str">
        <v>SpareOfferC17</v>
      </c>
      <c r="D965" t="s">
        <v>301</v>
      </c>
      <c r="F965" s="156">
        <f t="shared" si="571"/>
        <v>0</v>
      </c>
    </row>
    <row r="966" spans="3:6" hidden="1" outlineLevel="2">
      <c r="C966" s="73" t="str">
        <v>SpareOfferC18</v>
      </c>
      <c r="D966" t="s">
        <v>301</v>
      </c>
      <c r="F966" s="156">
        <f t="shared" si="571"/>
        <v>0</v>
      </c>
    </row>
    <row r="967" spans="3:6" hidden="1" outlineLevel="2">
      <c r="C967" s="73" t="str">
        <v>SpareOfferC19</v>
      </c>
      <c r="D967" t="s">
        <v>301</v>
      </c>
      <c r="F967" s="156">
        <f t="shared" si="571"/>
        <v>0</v>
      </c>
    </row>
    <row r="968" spans="3:6" hidden="1" outlineLevel="2">
      <c r="C968" s="73" t="str">
        <v>SpareOfferC20</v>
      </c>
      <c r="D968" t="s">
        <v>301</v>
      </c>
      <c r="F968" s="156">
        <f t="shared" si="571"/>
        <v>0</v>
      </c>
    </row>
    <row r="969" spans="3:6" hidden="1" outlineLevel="2">
      <c r="C969" s="73" t="str">
        <v>SpareOfferC21</v>
      </c>
      <c r="D969" t="s">
        <v>301</v>
      </c>
      <c r="F969" s="156">
        <f t="shared" si="571"/>
        <v>0</v>
      </c>
    </row>
    <row r="970" spans="3:6" hidden="1" outlineLevel="2">
      <c r="C970" s="73" t="str">
        <v>SpareOfferC22</v>
      </c>
      <c r="D970" t="s">
        <v>301</v>
      </c>
      <c r="F970" s="156">
        <f t="shared" si="571"/>
        <v>0</v>
      </c>
    </row>
    <row r="971" spans="3:6" hidden="1" outlineLevel="2">
      <c r="C971" s="73" t="str">
        <v>SpareOfferC23</v>
      </c>
      <c r="D971" t="s">
        <v>301</v>
      </c>
      <c r="F971" s="156">
        <f t="shared" si="571"/>
        <v>0</v>
      </c>
    </row>
    <row r="972" spans="3:6" hidden="1" outlineLevel="2">
      <c r="C972" s="73" t="str">
        <v>SpareOfferC24</v>
      </c>
      <c r="D972" t="s">
        <v>301</v>
      </c>
      <c r="F972" s="156">
        <f t="shared" si="571"/>
        <v>0</v>
      </c>
    </row>
    <row r="973" spans="3:6" hidden="1" outlineLevel="2">
      <c r="C973" s="73" t="str">
        <v>SpareOfferC25</v>
      </c>
      <c r="D973" t="s">
        <v>301</v>
      </c>
      <c r="F973" s="156">
        <f t="shared" si="571"/>
        <v>0</v>
      </c>
    </row>
    <row r="974" spans="3:6" hidden="1" outlineLevel="2">
      <c r="C974" s="73" t="str">
        <v>SpareOfferC26</v>
      </c>
      <c r="D974" t="s">
        <v>301</v>
      </c>
      <c r="F974" s="156">
        <f t="shared" si="571"/>
        <v>0</v>
      </c>
    </row>
    <row r="975" spans="3:6" hidden="1" outlineLevel="2">
      <c r="C975" s="73" t="str">
        <v>SpareOfferC27</v>
      </c>
      <c r="D975" t="s">
        <v>301</v>
      </c>
      <c r="F975" s="156">
        <f t="shared" si="571"/>
        <v>0</v>
      </c>
    </row>
    <row r="976" spans="3:6" hidden="1" outlineLevel="2">
      <c r="C976" s="73" t="str">
        <v>SpareOfferC28</v>
      </c>
      <c r="D976" t="s">
        <v>301</v>
      </c>
      <c r="F976" s="156">
        <f t="shared" si="571"/>
        <v>0</v>
      </c>
    </row>
    <row r="977" spans="1:6" hidden="1" outlineLevel="2">
      <c r="C977" s="73" t="str">
        <v>SpareOfferC29</v>
      </c>
      <c r="D977" t="s">
        <v>301</v>
      </c>
      <c r="F977" s="156">
        <f t="shared" si="571"/>
        <v>0</v>
      </c>
    </row>
    <row r="978" spans="1:6" hidden="1" outlineLevel="2">
      <c r="C978" s="73" t="str">
        <v>SpareOfferC30</v>
      </c>
      <c r="D978" t="s">
        <v>301</v>
      </c>
      <c r="F978" s="156">
        <f t="shared" si="571"/>
        <v>0</v>
      </c>
    </row>
    <row r="979" spans="1:6" hidden="1" outlineLevel="2">
      <c r="C979" s="73" t="str">
        <v>SpareOfferC31</v>
      </c>
      <c r="D979" t="s">
        <v>301</v>
      </c>
      <c r="F979" s="156">
        <f t="shared" si="571"/>
        <v>0</v>
      </c>
    </row>
    <row r="980" spans="1:6" hidden="1" outlineLevel="2">
      <c r="C980" s="73" t="str">
        <v>SpareOfferC32</v>
      </c>
      <c r="D980" t="s">
        <v>301</v>
      </c>
      <c r="F980" s="156">
        <f t="shared" si="571"/>
        <v>0</v>
      </c>
    </row>
    <row r="981" spans="1:6" hidden="1" outlineLevel="2">
      <c r="C981" s="73" t="str">
        <v>SpareOfferC33</v>
      </c>
      <c r="D981" t="s">
        <v>301</v>
      </c>
      <c r="F981" s="156">
        <f t="shared" si="571"/>
        <v>0</v>
      </c>
    </row>
    <row r="982" spans="1:6" hidden="1" outlineLevel="2">
      <c r="C982" s="73" t="str">
        <v>SpareOfferC34</v>
      </c>
      <c r="D982" t="s">
        <v>301</v>
      </c>
      <c r="F982" s="156">
        <f t="shared" si="571"/>
        <v>0</v>
      </c>
    </row>
    <row r="983" spans="1:6" outlineLevel="1" collapsed="1">
      <c r="C983" s="73" t="str">
        <v>SpareOfferC35</v>
      </c>
      <c r="D983" t="s">
        <v>301</v>
      </c>
      <c r="F983" s="156">
        <f t="shared" si="571"/>
        <v>0</v>
      </c>
    </row>
    <row r="984" spans="1:6" ht="12" outlineLevel="1">
      <c r="F984" s="43" t="s">
        <v>260</v>
      </c>
    </row>
    <row r="986" spans="1:6" s="220" customFormat="1">
      <c r="A986" s="220">
        <v>4</v>
      </c>
      <c r="B986" s="221" t="str">
        <f>INDEX(segments,A986)</f>
        <v>SpareSegmentD</v>
      </c>
      <c r="C986" s="207"/>
    </row>
    <row r="987" spans="1:6" outlineLevel="1"/>
    <row r="988" spans="1:6" outlineLevel="1">
      <c r="F988" s="127" t="s">
        <v>190</v>
      </c>
    </row>
    <row r="989" spans="1:6" outlineLevel="1">
      <c r="C989" s="73" t="str">
        <f t="array" ref="C989:C1023">offers.segment.4</f>
        <v>SpareOfferD1</v>
      </c>
      <c r="D989" t="s">
        <v>301</v>
      </c>
      <c r="F989" s="156">
        <f>F312+F642+F828</f>
        <v>0</v>
      </c>
    </row>
    <row r="990" spans="1:6" hidden="1" outlineLevel="2">
      <c r="C990" s="73" t="str">
        <v>SpareOfferD2</v>
      </c>
      <c r="D990" t="s">
        <v>301</v>
      </c>
      <c r="F990" s="156">
        <f t="shared" ref="F990:F1023" si="572">F313+F643+F829</f>
        <v>0</v>
      </c>
    </row>
    <row r="991" spans="1:6" hidden="1" outlineLevel="2">
      <c r="C991" s="73" t="str">
        <v>SpareOfferD3</v>
      </c>
      <c r="D991" t="s">
        <v>301</v>
      </c>
      <c r="F991" s="156">
        <f t="shared" si="572"/>
        <v>0</v>
      </c>
    </row>
    <row r="992" spans="1:6" hidden="1" outlineLevel="2">
      <c r="C992" s="73" t="str">
        <v>SpareOfferD4</v>
      </c>
      <c r="D992" t="s">
        <v>301</v>
      </c>
      <c r="F992" s="156">
        <f t="shared" si="572"/>
        <v>0</v>
      </c>
    </row>
    <row r="993" spans="3:6" hidden="1" outlineLevel="2">
      <c r="C993" s="73" t="str">
        <v>SpareOfferD5</v>
      </c>
      <c r="D993" t="s">
        <v>301</v>
      </c>
      <c r="F993" s="156">
        <f t="shared" si="572"/>
        <v>0</v>
      </c>
    </row>
    <row r="994" spans="3:6" hidden="1" outlineLevel="2">
      <c r="C994" s="73" t="str">
        <v>SpareOfferD6</v>
      </c>
      <c r="D994" t="s">
        <v>301</v>
      </c>
      <c r="F994" s="156">
        <f t="shared" si="572"/>
        <v>0</v>
      </c>
    </row>
    <row r="995" spans="3:6" hidden="1" outlineLevel="2">
      <c r="C995" s="73" t="str">
        <v>SpareOfferD7</v>
      </c>
      <c r="D995" t="s">
        <v>301</v>
      </c>
      <c r="F995" s="156">
        <f t="shared" si="572"/>
        <v>0</v>
      </c>
    </row>
    <row r="996" spans="3:6" hidden="1" outlineLevel="2">
      <c r="C996" s="73" t="str">
        <v>SpareOfferD8</v>
      </c>
      <c r="D996" t="s">
        <v>301</v>
      </c>
      <c r="F996" s="156">
        <f t="shared" si="572"/>
        <v>0</v>
      </c>
    </row>
    <row r="997" spans="3:6" hidden="1" outlineLevel="2">
      <c r="C997" s="73" t="str">
        <v>SpareOfferD9</v>
      </c>
      <c r="D997" t="s">
        <v>301</v>
      </c>
      <c r="F997" s="156">
        <f t="shared" si="572"/>
        <v>0</v>
      </c>
    </row>
    <row r="998" spans="3:6" hidden="1" outlineLevel="2">
      <c r="C998" s="73" t="str">
        <v>SpareOfferD10</v>
      </c>
      <c r="D998" t="s">
        <v>301</v>
      </c>
      <c r="F998" s="156">
        <f t="shared" si="572"/>
        <v>0</v>
      </c>
    </row>
    <row r="999" spans="3:6" hidden="1" outlineLevel="2">
      <c r="C999" s="73" t="str">
        <v>SpareOfferD11</v>
      </c>
      <c r="D999" t="s">
        <v>301</v>
      </c>
      <c r="F999" s="156">
        <f t="shared" si="572"/>
        <v>0</v>
      </c>
    </row>
    <row r="1000" spans="3:6" hidden="1" outlineLevel="2">
      <c r="C1000" s="73" t="str">
        <v>SpareOfferD12</v>
      </c>
      <c r="D1000" t="s">
        <v>301</v>
      </c>
      <c r="F1000" s="156">
        <f t="shared" si="572"/>
        <v>0</v>
      </c>
    </row>
    <row r="1001" spans="3:6" hidden="1" outlineLevel="2">
      <c r="C1001" s="73" t="str">
        <v>SpareOfferD13</v>
      </c>
      <c r="D1001" t="s">
        <v>301</v>
      </c>
      <c r="F1001" s="156">
        <f t="shared" si="572"/>
        <v>0</v>
      </c>
    </row>
    <row r="1002" spans="3:6" hidden="1" outlineLevel="2">
      <c r="C1002" s="73" t="str">
        <v>SpareOfferD14</v>
      </c>
      <c r="D1002" t="s">
        <v>301</v>
      </c>
      <c r="F1002" s="156">
        <f t="shared" si="572"/>
        <v>0</v>
      </c>
    </row>
    <row r="1003" spans="3:6" hidden="1" outlineLevel="2">
      <c r="C1003" s="73" t="str">
        <v>SpareOfferD15</v>
      </c>
      <c r="D1003" t="s">
        <v>301</v>
      </c>
      <c r="F1003" s="156">
        <f t="shared" si="572"/>
        <v>0</v>
      </c>
    </row>
    <row r="1004" spans="3:6" hidden="1" outlineLevel="2">
      <c r="C1004" s="73" t="str">
        <v>SpareOfferD16</v>
      </c>
      <c r="D1004" t="s">
        <v>301</v>
      </c>
      <c r="F1004" s="156">
        <f t="shared" si="572"/>
        <v>0</v>
      </c>
    </row>
    <row r="1005" spans="3:6" hidden="1" outlineLevel="2">
      <c r="C1005" s="73" t="str">
        <v>SpareOfferD17</v>
      </c>
      <c r="D1005" t="s">
        <v>301</v>
      </c>
      <c r="F1005" s="156">
        <f t="shared" si="572"/>
        <v>0</v>
      </c>
    </row>
    <row r="1006" spans="3:6" hidden="1" outlineLevel="2">
      <c r="C1006" s="73" t="str">
        <v>SpareOfferD18</v>
      </c>
      <c r="D1006" t="s">
        <v>301</v>
      </c>
      <c r="F1006" s="156">
        <f t="shared" si="572"/>
        <v>0</v>
      </c>
    </row>
    <row r="1007" spans="3:6" hidden="1" outlineLevel="2">
      <c r="C1007" s="73" t="str">
        <v>SpareOfferD19</v>
      </c>
      <c r="D1007" t="s">
        <v>301</v>
      </c>
      <c r="F1007" s="156">
        <f t="shared" si="572"/>
        <v>0</v>
      </c>
    </row>
    <row r="1008" spans="3:6" hidden="1" outlineLevel="2">
      <c r="C1008" s="73" t="str">
        <v>SpareOfferD20</v>
      </c>
      <c r="D1008" t="s">
        <v>301</v>
      </c>
      <c r="F1008" s="156">
        <f t="shared" si="572"/>
        <v>0</v>
      </c>
    </row>
    <row r="1009" spans="3:6" hidden="1" outlineLevel="2">
      <c r="C1009" s="73" t="str">
        <v>SpareOfferD21</v>
      </c>
      <c r="D1009" t="s">
        <v>301</v>
      </c>
      <c r="F1009" s="156">
        <f t="shared" si="572"/>
        <v>0</v>
      </c>
    </row>
    <row r="1010" spans="3:6" hidden="1" outlineLevel="2">
      <c r="C1010" s="73" t="str">
        <v>SpareOfferD22</v>
      </c>
      <c r="D1010" t="s">
        <v>301</v>
      </c>
      <c r="F1010" s="156">
        <f t="shared" si="572"/>
        <v>0</v>
      </c>
    </row>
    <row r="1011" spans="3:6" hidden="1" outlineLevel="2">
      <c r="C1011" s="73" t="str">
        <v>SpareOfferD23</v>
      </c>
      <c r="D1011" t="s">
        <v>301</v>
      </c>
      <c r="F1011" s="156">
        <f t="shared" si="572"/>
        <v>0</v>
      </c>
    </row>
    <row r="1012" spans="3:6" hidden="1" outlineLevel="2">
      <c r="C1012" s="73" t="str">
        <v>SpareOfferD24</v>
      </c>
      <c r="D1012" t="s">
        <v>301</v>
      </c>
      <c r="F1012" s="156">
        <f t="shared" si="572"/>
        <v>0</v>
      </c>
    </row>
    <row r="1013" spans="3:6" hidden="1" outlineLevel="2">
      <c r="C1013" s="73" t="str">
        <v>SpareOfferD25</v>
      </c>
      <c r="D1013" t="s">
        <v>301</v>
      </c>
      <c r="F1013" s="156">
        <f t="shared" si="572"/>
        <v>0</v>
      </c>
    </row>
    <row r="1014" spans="3:6" hidden="1" outlineLevel="2">
      <c r="C1014" s="73" t="str">
        <v>SpareOfferD26</v>
      </c>
      <c r="D1014" t="s">
        <v>301</v>
      </c>
      <c r="F1014" s="156">
        <f t="shared" si="572"/>
        <v>0</v>
      </c>
    </row>
    <row r="1015" spans="3:6" hidden="1" outlineLevel="2">
      <c r="C1015" s="73" t="str">
        <v>SpareOfferD27</v>
      </c>
      <c r="D1015" t="s">
        <v>301</v>
      </c>
      <c r="F1015" s="156">
        <f t="shared" si="572"/>
        <v>0</v>
      </c>
    </row>
    <row r="1016" spans="3:6" hidden="1" outlineLevel="2">
      <c r="C1016" s="73" t="str">
        <v>SpareOfferD28</v>
      </c>
      <c r="D1016" t="s">
        <v>301</v>
      </c>
      <c r="F1016" s="156">
        <f t="shared" si="572"/>
        <v>0</v>
      </c>
    </row>
    <row r="1017" spans="3:6" hidden="1" outlineLevel="2">
      <c r="C1017" s="73" t="str">
        <v>SpareOfferD29</v>
      </c>
      <c r="D1017" t="s">
        <v>301</v>
      </c>
      <c r="F1017" s="156">
        <f t="shared" si="572"/>
        <v>0</v>
      </c>
    </row>
    <row r="1018" spans="3:6" hidden="1" outlineLevel="2">
      <c r="C1018" s="73" t="str">
        <v>SpareOfferD30</v>
      </c>
      <c r="D1018" t="s">
        <v>301</v>
      </c>
      <c r="F1018" s="156">
        <f t="shared" si="572"/>
        <v>0</v>
      </c>
    </row>
    <row r="1019" spans="3:6" hidden="1" outlineLevel="2">
      <c r="C1019" s="73" t="str">
        <v>SpareOfferD31</v>
      </c>
      <c r="D1019" t="s">
        <v>301</v>
      </c>
      <c r="F1019" s="156">
        <f t="shared" si="572"/>
        <v>0</v>
      </c>
    </row>
    <row r="1020" spans="3:6" hidden="1" outlineLevel="2">
      <c r="C1020" s="73" t="str">
        <v>SpareOfferD32</v>
      </c>
      <c r="D1020" t="s">
        <v>301</v>
      </c>
      <c r="F1020" s="156">
        <f t="shared" si="572"/>
        <v>0</v>
      </c>
    </row>
    <row r="1021" spans="3:6" hidden="1" outlineLevel="2">
      <c r="C1021" s="73" t="str">
        <v>SpareOfferD33</v>
      </c>
      <c r="D1021" t="s">
        <v>301</v>
      </c>
      <c r="F1021" s="156">
        <f t="shared" si="572"/>
        <v>0</v>
      </c>
    </row>
    <row r="1022" spans="3:6" hidden="1" outlineLevel="2">
      <c r="C1022" s="73" t="str">
        <v>SpareOfferD34</v>
      </c>
      <c r="D1022" t="s">
        <v>301</v>
      </c>
      <c r="F1022" s="156">
        <f t="shared" si="572"/>
        <v>0</v>
      </c>
    </row>
    <row r="1023" spans="3:6" outlineLevel="1" collapsed="1">
      <c r="C1023" s="73" t="str">
        <v>-</v>
      </c>
      <c r="D1023" t="s">
        <v>301</v>
      </c>
      <c r="F1023" s="156">
        <f t="shared" si="572"/>
        <v>0</v>
      </c>
    </row>
    <row r="1024" spans="3:6" ht="12" outlineLevel="1">
      <c r="F1024" s="43" t="s">
        <v>261</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sheetPr>
  <dimension ref="A1:D34"/>
  <sheetViews>
    <sheetView showGridLines="0" defaultGridColor="0" colorId="22" zoomScaleNormal="100" zoomScaleSheetLayoutView="75" workbookViewId="0">
      <pane ySplit="14" topLeftCell="A15" activePane="bottomLeft" state="frozen"/>
      <selection pane="bottomLeft"/>
    </sheetView>
  </sheetViews>
  <sheetFormatPr baseColWidth="10" defaultColWidth="12.69921875" defaultRowHeight="11.5"/>
  <cols>
    <col min="1" max="1" width="16.59765625" style="55" customWidth="1"/>
    <col min="2" max="2" width="42.3984375" style="247" customWidth="1"/>
    <col min="3" max="3" width="16.69921875" style="55" customWidth="1"/>
    <col min="4" max="4" width="13.69921875" style="60" bestFit="1" customWidth="1"/>
  </cols>
  <sheetData>
    <row r="1" spans="1:4" s="245" customFormat="1" ht="33.75" customHeight="1">
      <c r="C1" s="246" t="s">
        <v>547</v>
      </c>
    </row>
    <row r="2" spans="1:4" ht="12" customHeight="1">
      <c r="A2"/>
      <c r="B2"/>
      <c r="C2"/>
      <c r="D2"/>
    </row>
    <row r="3" spans="1:4" ht="18">
      <c r="A3" s="56" t="s">
        <v>98</v>
      </c>
      <c r="B3"/>
      <c r="C3"/>
      <c r="D3"/>
    </row>
    <row r="4" spans="1:4" ht="6" customHeight="1">
      <c r="A4"/>
      <c r="B4"/>
      <c r="C4"/>
      <c r="D4"/>
    </row>
    <row r="5" spans="1:4">
      <c r="A5" s="57" t="s">
        <v>95</v>
      </c>
      <c r="B5" s="60" t="str">
        <f>Workbook.Title</f>
        <v>Margin squeeze tool</v>
      </c>
      <c r="C5"/>
      <c r="D5"/>
    </row>
    <row r="6" spans="1:4">
      <c r="A6" s="57" t="s">
        <v>94</v>
      </c>
      <c r="B6" s="60" t="str">
        <f>Workbook.Objective</f>
        <v>Price control tool for the setting of M15 wholesale prices</v>
      </c>
      <c r="C6"/>
      <c r="D6"/>
    </row>
    <row r="7" spans="1:4">
      <c r="A7"/>
      <c r="B7"/>
      <c r="C7"/>
      <c r="D7"/>
    </row>
    <row r="8" spans="1:4">
      <c r="A8" s="57" t="s">
        <v>93</v>
      </c>
      <c r="B8" s="60" t="str">
        <f>Workbook.Version</f>
        <v>5.5</v>
      </c>
      <c r="C8"/>
      <c r="D8"/>
    </row>
    <row r="9" spans="1:4">
      <c r="A9" s="57" t="s">
        <v>2</v>
      </c>
      <c r="B9" s="60" t="str">
        <f>Workbook.Status</f>
        <v>Approved for release</v>
      </c>
      <c r="C9"/>
      <c r="D9"/>
    </row>
    <row r="10" spans="1:4">
      <c r="A10" s="57" t="s">
        <v>97</v>
      </c>
      <c r="B10" s="60" t="str">
        <f>Workbook.Author</f>
        <v>Analysys Mason</v>
      </c>
      <c r="C10"/>
      <c r="D10"/>
    </row>
    <row r="11" spans="1:4">
      <c r="A11"/>
      <c r="B11"/>
      <c r="C11"/>
      <c r="D11"/>
    </row>
    <row r="12" spans="1:4" ht="18">
      <c r="A12" s="2" t="s">
        <v>102</v>
      </c>
      <c r="B12"/>
      <c r="C12"/>
      <c r="D12"/>
    </row>
    <row r="13" spans="1:4">
      <c r="A13"/>
      <c r="B13"/>
      <c r="C13"/>
      <c r="D13"/>
    </row>
    <row r="14" spans="1:4" ht="15.5">
      <c r="A14" s="54" t="s">
        <v>93</v>
      </c>
      <c r="B14" s="3" t="s">
        <v>96</v>
      </c>
      <c r="C14" s="54" t="s">
        <v>131</v>
      </c>
      <c r="D14" s="3" t="s">
        <v>97</v>
      </c>
    </row>
    <row r="15" spans="1:4">
      <c r="A15" s="55" t="s">
        <v>250</v>
      </c>
      <c r="B15" s="166" t="s">
        <v>272</v>
      </c>
      <c r="C15" s="247">
        <v>42229</v>
      </c>
      <c r="D15" s="60" t="s">
        <v>252</v>
      </c>
    </row>
    <row r="16" spans="1:4">
      <c r="A16" s="55" t="s">
        <v>375</v>
      </c>
      <c r="B16" s="166" t="s">
        <v>376</v>
      </c>
      <c r="C16" s="247">
        <v>42255</v>
      </c>
      <c r="D16" s="60" t="s">
        <v>252</v>
      </c>
    </row>
    <row r="17" spans="1:4">
      <c r="A17" s="55" t="s">
        <v>378</v>
      </c>
      <c r="B17" s="166" t="s">
        <v>381</v>
      </c>
      <c r="C17" s="247">
        <v>42258</v>
      </c>
      <c r="D17" s="60" t="s">
        <v>252</v>
      </c>
    </row>
    <row r="18" spans="1:4">
      <c r="A18" s="55" t="s">
        <v>382</v>
      </c>
      <c r="B18" s="166" t="s">
        <v>381</v>
      </c>
      <c r="C18" s="247">
        <v>42261</v>
      </c>
      <c r="D18" s="60" t="s">
        <v>252</v>
      </c>
    </row>
    <row r="19" spans="1:4">
      <c r="A19" s="55" t="s">
        <v>383</v>
      </c>
      <c r="B19" s="166" t="s">
        <v>395</v>
      </c>
      <c r="C19" s="247">
        <v>42426</v>
      </c>
      <c r="D19" s="60" t="s">
        <v>252</v>
      </c>
    </row>
    <row r="20" spans="1:4">
      <c r="A20" s="55" t="s">
        <v>397</v>
      </c>
      <c r="B20" s="166" t="s">
        <v>398</v>
      </c>
      <c r="C20" s="247">
        <v>42447</v>
      </c>
      <c r="D20" s="60" t="s">
        <v>252</v>
      </c>
    </row>
    <row r="21" spans="1:4">
      <c r="A21" s="55" t="s">
        <v>399</v>
      </c>
      <c r="B21" s="166" t="s">
        <v>400</v>
      </c>
      <c r="C21" s="247">
        <v>42461</v>
      </c>
      <c r="D21" s="60" t="s">
        <v>252</v>
      </c>
    </row>
    <row r="22" spans="1:4">
      <c r="A22" s="55" t="s">
        <v>401</v>
      </c>
      <c r="B22" s="166" t="s">
        <v>402</v>
      </c>
      <c r="C22" s="247">
        <v>42548</v>
      </c>
      <c r="D22" s="60" t="s">
        <v>252</v>
      </c>
    </row>
    <row r="23" spans="1:4">
      <c r="A23" s="55" t="s">
        <v>404</v>
      </c>
      <c r="B23" s="166" t="s">
        <v>403</v>
      </c>
      <c r="C23" s="247">
        <v>42697</v>
      </c>
      <c r="D23" s="60" t="s">
        <v>252</v>
      </c>
    </row>
    <row r="24" spans="1:4">
      <c r="A24" s="55" t="s">
        <v>405</v>
      </c>
      <c r="B24" s="166" t="s">
        <v>406</v>
      </c>
      <c r="C24" s="247" t="s">
        <v>407</v>
      </c>
      <c r="D24" s="60" t="s">
        <v>252</v>
      </c>
    </row>
    <row r="25" spans="1:4">
      <c r="A25" s="55" t="s">
        <v>408</v>
      </c>
      <c r="B25" s="166" t="s">
        <v>410</v>
      </c>
      <c r="C25" s="247" t="s">
        <v>409</v>
      </c>
      <c r="D25" s="60" t="s">
        <v>252</v>
      </c>
    </row>
    <row r="26" spans="1:4">
      <c r="A26" s="55" t="s">
        <v>411</v>
      </c>
      <c r="B26" s="166" t="s">
        <v>412</v>
      </c>
      <c r="C26" s="247" t="s">
        <v>413</v>
      </c>
      <c r="D26" s="60" t="s">
        <v>252</v>
      </c>
    </row>
    <row r="27" spans="1:4">
      <c r="A27" s="55" t="s">
        <v>584</v>
      </c>
      <c r="B27" s="166" t="s">
        <v>585</v>
      </c>
      <c r="C27" s="247">
        <v>43578</v>
      </c>
      <c r="D27" s="60" t="s">
        <v>252</v>
      </c>
    </row>
    <row r="28" spans="1:4">
      <c r="A28" s="55" t="s">
        <v>533</v>
      </c>
      <c r="B28" s="166" t="s">
        <v>426</v>
      </c>
      <c r="C28" s="247">
        <v>43678</v>
      </c>
      <c r="D28" s="60" t="s">
        <v>252</v>
      </c>
    </row>
    <row r="29" spans="1:4">
      <c r="A29" s="293" t="s">
        <v>660</v>
      </c>
      <c r="B29" s="166" t="s">
        <v>661</v>
      </c>
      <c r="C29" s="247">
        <v>43817</v>
      </c>
      <c r="D29" s="60" t="s">
        <v>252</v>
      </c>
    </row>
    <row r="30" spans="1:4">
      <c r="A30" s="293" t="s">
        <v>668</v>
      </c>
      <c r="B30" s="166" t="s">
        <v>669</v>
      </c>
      <c r="C30" s="247">
        <v>43909</v>
      </c>
      <c r="D30" s="60" t="s">
        <v>252</v>
      </c>
    </row>
    <row r="31" spans="1:4">
      <c r="A31" s="293" t="s">
        <v>687</v>
      </c>
      <c r="B31" s="166" t="s">
        <v>688</v>
      </c>
      <c r="C31" s="247">
        <v>44076</v>
      </c>
      <c r="D31" s="60" t="s">
        <v>252</v>
      </c>
    </row>
    <row r="32" spans="1:4">
      <c r="A32" s="293" t="s">
        <v>690</v>
      </c>
      <c r="B32" s="166" t="s">
        <v>691</v>
      </c>
      <c r="C32" s="247">
        <v>44098</v>
      </c>
      <c r="D32" s="60" t="s">
        <v>252</v>
      </c>
    </row>
    <row r="33" spans="1:4">
      <c r="A33" s="55" t="s">
        <v>714</v>
      </c>
      <c r="B33" t="s">
        <v>709</v>
      </c>
      <c r="C33" s="247">
        <v>44741</v>
      </c>
      <c r="D33" s="60" t="s">
        <v>252</v>
      </c>
    </row>
    <row r="34" spans="1:4">
      <c r="A34" s="55" t="s">
        <v>906</v>
      </c>
      <c r="B34" t="s">
        <v>907</v>
      </c>
      <c r="C34" s="247">
        <v>45195</v>
      </c>
      <c r="D34" s="60" t="s">
        <v>252</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outlinePr summaryBelow="0"/>
    <pageSetUpPr autoPageBreaks="0" fitToPage="1"/>
  </sheetPr>
  <dimension ref="A1:M146"/>
  <sheetViews>
    <sheetView showGridLines="0" defaultGridColor="0" colorId="22" zoomScaleNormal="100" workbookViewId="0">
      <pane ySplit="1" topLeftCell="A2" activePane="bottomLeft" state="frozen"/>
      <selection pane="bottomLeft"/>
    </sheetView>
  </sheetViews>
  <sheetFormatPr baseColWidth="10" defaultColWidth="12.69921875" defaultRowHeight="11.5"/>
  <cols>
    <col min="1" max="1" width="2.69921875" customWidth="1"/>
    <col min="2" max="2" width="26.59765625" customWidth="1"/>
  </cols>
  <sheetData>
    <row r="1" spans="1:13" s="70" customFormat="1" ht="33.75" customHeight="1">
      <c r="C1" s="79" t="s">
        <v>129</v>
      </c>
    </row>
    <row r="2" spans="1:13" ht="12" customHeight="1"/>
    <row r="3" spans="1:13">
      <c r="A3" s="25" t="s">
        <v>548</v>
      </c>
    </row>
    <row r="4" spans="1:13">
      <c r="A4" s="25" t="s">
        <v>549</v>
      </c>
    </row>
    <row r="6" spans="1:13" ht="18">
      <c r="A6" s="9" t="s">
        <v>80</v>
      </c>
    </row>
    <row r="7" spans="1:13">
      <c r="A7" s="74" t="s">
        <v>81</v>
      </c>
      <c r="B7" s="44"/>
      <c r="C7" s="44"/>
      <c r="D7" s="44"/>
      <c r="E7" s="44"/>
    </row>
    <row r="8" spans="1:13">
      <c r="A8" s="25" t="s">
        <v>125</v>
      </c>
    </row>
    <row r="10" spans="1:13">
      <c r="B10" s="6" t="s">
        <v>25</v>
      </c>
      <c r="C10" s="10">
        <v>100</v>
      </c>
      <c r="D10" s="25" t="s">
        <v>4</v>
      </c>
      <c r="E10" t="s">
        <v>52</v>
      </c>
    </row>
    <row r="12" spans="1:13">
      <c r="B12" s="6" t="s">
        <v>25</v>
      </c>
      <c r="C12" s="10">
        <v>250</v>
      </c>
      <c r="D12" s="25" t="s">
        <v>4</v>
      </c>
      <c r="E12" s="49" t="s">
        <v>68</v>
      </c>
      <c r="F12" s="49"/>
      <c r="G12" s="49"/>
      <c r="H12" s="49"/>
      <c r="I12" s="49"/>
      <c r="J12" s="49"/>
      <c r="K12" s="49"/>
    </row>
    <row r="13" spans="1:13" hidden="1">
      <c r="B13" s="5" t="s">
        <v>70</v>
      </c>
      <c r="C13" s="4">
        <v>100</v>
      </c>
    </row>
    <row r="14" spans="1:13" hidden="1">
      <c r="B14" s="5" t="s">
        <v>71</v>
      </c>
      <c r="C14" s="4">
        <v>300</v>
      </c>
    </row>
    <row r="16" spans="1:13">
      <c r="B16" s="6" t="s">
        <v>25</v>
      </c>
      <c r="C16" s="10">
        <v>300</v>
      </c>
      <c r="D16" s="25" t="s">
        <v>4</v>
      </c>
      <c r="E16" s="49" t="s">
        <v>72</v>
      </c>
      <c r="F16" s="49"/>
      <c r="G16" s="49"/>
      <c r="H16" s="49"/>
      <c r="I16" s="49"/>
      <c r="J16" s="49"/>
      <c r="K16" s="49"/>
      <c r="L16" s="49"/>
      <c r="M16" s="49"/>
    </row>
    <row r="17" spans="2:5" hidden="1">
      <c r="B17" s="5" t="s">
        <v>69</v>
      </c>
      <c r="C17" s="4">
        <v>100</v>
      </c>
    </row>
    <row r="18" spans="2:5" hidden="1">
      <c r="C18" s="4">
        <v>200</v>
      </c>
    </row>
    <row r="19" spans="2:5" hidden="1">
      <c r="C19" s="4">
        <v>300</v>
      </c>
    </row>
    <row r="21" spans="2:5">
      <c r="B21" s="6" t="s">
        <v>26</v>
      </c>
      <c r="C21" s="12">
        <v>100</v>
      </c>
      <c r="D21" s="25" t="s">
        <v>4</v>
      </c>
      <c r="E21" t="s">
        <v>51</v>
      </c>
    </row>
    <row r="23" spans="2:5">
      <c r="B23" s="6" t="s">
        <v>76</v>
      </c>
      <c r="C23" s="52">
        <v>100</v>
      </c>
      <c r="D23" s="25" t="s">
        <v>4</v>
      </c>
      <c r="E23" t="s">
        <v>77</v>
      </c>
    </row>
    <row r="25" spans="2:5">
      <c r="B25" s="6" t="s">
        <v>27</v>
      </c>
      <c r="C25" s="11">
        <v>100</v>
      </c>
      <c r="D25" s="25" t="s">
        <v>5</v>
      </c>
      <c r="E25" t="s">
        <v>136</v>
      </c>
    </row>
    <row r="27" spans="2:5">
      <c r="B27" s="6" t="s">
        <v>28</v>
      </c>
      <c r="C27" s="13">
        <v>100</v>
      </c>
      <c r="D27" s="25" t="s">
        <v>5</v>
      </c>
      <c r="E27" t="s">
        <v>127</v>
      </c>
    </row>
    <row r="29" spans="2:5" ht="12" customHeight="1">
      <c r="B29" s="6" t="s">
        <v>126</v>
      </c>
      <c r="C29" s="73">
        <v>100</v>
      </c>
      <c r="D29" s="25" t="s">
        <v>5</v>
      </c>
      <c r="E29" t="s">
        <v>128</v>
      </c>
    </row>
    <row r="31" spans="2:5" ht="12" customHeight="1">
      <c r="B31" s="6" t="s">
        <v>109</v>
      </c>
      <c r="C31" s="64">
        <v>100</v>
      </c>
      <c r="D31" s="25" t="s">
        <v>5</v>
      </c>
      <c r="E31" t="s">
        <v>110</v>
      </c>
    </row>
    <row r="33" spans="1:11">
      <c r="B33" s="6" t="s">
        <v>653</v>
      </c>
      <c r="C33" s="289">
        <v>100</v>
      </c>
      <c r="D33" s="25" t="s">
        <v>4</v>
      </c>
      <c r="E33" t="s">
        <v>654</v>
      </c>
    </row>
    <row r="35" spans="1:11" ht="18">
      <c r="A35" s="9" t="s">
        <v>82</v>
      </c>
    </row>
    <row r="36" spans="1:11">
      <c r="A36" s="74" t="s">
        <v>83</v>
      </c>
      <c r="B36" s="44"/>
      <c r="C36" s="44"/>
      <c r="D36" s="44"/>
      <c r="E36" s="44"/>
    </row>
    <row r="37" spans="1:11">
      <c r="A37" s="25" t="s">
        <v>550</v>
      </c>
    </row>
    <row r="39" spans="1:11">
      <c r="B39" s="6" t="s">
        <v>6</v>
      </c>
      <c r="C39" s="14">
        <v>100</v>
      </c>
      <c r="D39" s="25" t="s">
        <v>5</v>
      </c>
      <c r="E39" t="s">
        <v>50</v>
      </c>
    </row>
    <row r="40" spans="1:11">
      <c r="C40" s="14"/>
    </row>
    <row r="41" spans="1:11">
      <c r="B41" s="6" t="s">
        <v>89</v>
      </c>
      <c r="C41" s="65">
        <v>123.45</v>
      </c>
      <c r="E41" t="s">
        <v>54</v>
      </c>
    </row>
    <row r="43" spans="1:11" ht="12">
      <c r="B43" s="6" t="s">
        <v>111</v>
      </c>
      <c r="C43" s="61">
        <v>0</v>
      </c>
      <c r="D43" s="25" t="s">
        <v>5</v>
      </c>
      <c r="E43" t="s">
        <v>53</v>
      </c>
      <c r="F43" s="49"/>
      <c r="G43" s="49"/>
      <c r="H43" s="49"/>
      <c r="I43" s="49"/>
      <c r="J43" s="49"/>
      <c r="K43" s="49"/>
    </row>
    <row r="45" spans="1:11" ht="12">
      <c r="B45" s="6" t="s">
        <v>111</v>
      </c>
      <c r="C45" s="61">
        <v>0.1</v>
      </c>
      <c r="D45" s="25" t="s">
        <v>5</v>
      </c>
      <c r="E45" s="49" t="s">
        <v>132</v>
      </c>
      <c r="F45" s="49"/>
      <c r="G45" s="49"/>
      <c r="H45" s="49"/>
      <c r="I45" s="49"/>
      <c r="J45" s="49"/>
      <c r="K45" s="49"/>
    </row>
    <row r="47" spans="1:11">
      <c r="B47" s="6" t="s">
        <v>7</v>
      </c>
      <c r="C47" s="15">
        <v>100</v>
      </c>
      <c r="E47" t="s">
        <v>16</v>
      </c>
    </row>
    <row r="49" spans="1:10" ht="12">
      <c r="B49" s="6" t="s">
        <v>34</v>
      </c>
      <c r="C49" s="41" t="s">
        <v>34</v>
      </c>
      <c r="D49" s="25" t="s">
        <v>5</v>
      </c>
      <c r="E49" t="s">
        <v>133</v>
      </c>
    </row>
    <row r="51" spans="1:10">
      <c r="B51" s="6" t="s">
        <v>35</v>
      </c>
      <c r="C51" s="42" t="s">
        <v>35</v>
      </c>
      <c r="E51" t="s">
        <v>84</v>
      </c>
    </row>
    <row r="53" spans="1:10">
      <c r="B53" s="6" t="s">
        <v>8</v>
      </c>
      <c r="C53" s="16">
        <v>100</v>
      </c>
      <c r="E53" t="s">
        <v>9</v>
      </c>
    </row>
    <row r="54" spans="1:10">
      <c r="B54" s="6"/>
    </row>
    <row r="55" spans="1:10">
      <c r="B55" s="6" t="s">
        <v>73</v>
      </c>
      <c r="C55" s="50">
        <v>100</v>
      </c>
      <c r="E55" t="s">
        <v>74</v>
      </c>
    </row>
    <row r="57" spans="1:10" ht="18">
      <c r="A57" s="9" t="s">
        <v>44</v>
      </c>
    </row>
    <row r="58" spans="1:10">
      <c r="A58" s="74" t="s">
        <v>48</v>
      </c>
      <c r="B58" s="44"/>
      <c r="C58" s="44"/>
      <c r="D58" s="44"/>
      <c r="E58" s="44"/>
    </row>
    <row r="59" spans="1:10">
      <c r="A59" s="25" t="s">
        <v>551</v>
      </c>
    </row>
    <row r="60" spans="1:10">
      <c r="A60" s="25" t="s">
        <v>552</v>
      </c>
    </row>
    <row r="62" spans="1:10" ht="23">
      <c r="B62" s="1"/>
      <c r="C62" s="1" t="s">
        <v>11</v>
      </c>
      <c r="D62" s="1" t="s">
        <v>19</v>
      </c>
      <c r="E62" s="1" t="s">
        <v>13</v>
      </c>
      <c r="F62" s="1" t="s">
        <v>14</v>
      </c>
      <c r="G62" s="1" t="s">
        <v>12</v>
      </c>
      <c r="H62" s="1" t="s">
        <v>20</v>
      </c>
      <c r="I62" s="1" t="s">
        <v>17</v>
      </c>
      <c r="J62" s="1" t="s">
        <v>18</v>
      </c>
    </row>
    <row r="63" spans="1:10">
      <c r="B63" s="6" t="s">
        <v>55</v>
      </c>
      <c r="C63" s="4">
        <v>1234.56</v>
      </c>
      <c r="D63" s="17">
        <v>123.45</v>
      </c>
      <c r="E63" s="47">
        <v>0.1234</v>
      </c>
      <c r="F63" s="48">
        <v>0.1234</v>
      </c>
      <c r="G63" s="18">
        <v>1234.56</v>
      </c>
      <c r="H63" s="19">
        <v>123.45</v>
      </c>
      <c r="I63" s="45">
        <v>1234.56</v>
      </c>
      <c r="J63" s="46">
        <v>0.1234</v>
      </c>
    </row>
    <row r="64" spans="1:10">
      <c r="B64" s="6" t="s">
        <v>56</v>
      </c>
      <c r="C64" s="4">
        <v>-1234.56</v>
      </c>
      <c r="D64" s="17">
        <v>-123.45</v>
      </c>
      <c r="E64" s="47">
        <v>-0.1234</v>
      </c>
      <c r="F64" s="48">
        <v>-0.1234</v>
      </c>
      <c r="G64" s="18">
        <v>-1234.56</v>
      </c>
      <c r="H64" s="19">
        <v>-123.45</v>
      </c>
      <c r="I64" s="45">
        <v>-1234.56</v>
      </c>
      <c r="J64" s="46">
        <v>-0.1234</v>
      </c>
    </row>
    <row r="65" spans="2:10">
      <c r="B65" s="6" t="s">
        <v>57</v>
      </c>
      <c r="C65" s="4">
        <v>0</v>
      </c>
      <c r="D65" s="17">
        <v>0</v>
      </c>
      <c r="E65" s="81">
        <v>0</v>
      </c>
      <c r="F65" s="82">
        <v>0</v>
      </c>
      <c r="G65" s="18">
        <v>0</v>
      </c>
      <c r="H65" s="19">
        <v>0</v>
      </c>
      <c r="I65" s="45">
        <v>0</v>
      </c>
      <c r="J65" s="46">
        <v>0</v>
      </c>
    </row>
    <row r="66" spans="2:10" ht="12" thickBot="1">
      <c r="B66" s="6" t="s">
        <v>10</v>
      </c>
      <c r="C66" s="4" t="s">
        <v>10</v>
      </c>
      <c r="D66" s="17" t="s">
        <v>10</v>
      </c>
      <c r="E66" s="47" t="s">
        <v>10</v>
      </c>
      <c r="F66" s="48" t="s">
        <v>10</v>
      </c>
      <c r="G66" s="18" t="s">
        <v>10</v>
      </c>
      <c r="H66" s="19" t="s">
        <v>10</v>
      </c>
      <c r="I66" s="45" t="s">
        <v>10</v>
      </c>
      <c r="J66" s="46" t="s">
        <v>10</v>
      </c>
    </row>
    <row r="67" spans="2:10">
      <c r="B67" s="40"/>
      <c r="C67" s="40"/>
      <c r="D67" s="40"/>
      <c r="E67" s="40"/>
      <c r="F67" s="40"/>
      <c r="G67" s="40"/>
      <c r="H67" s="40"/>
      <c r="I67" s="40"/>
      <c r="J67" s="40"/>
    </row>
    <row r="68" spans="2:10" ht="23">
      <c r="B68" s="1"/>
      <c r="C68" s="1" t="s">
        <v>60</v>
      </c>
      <c r="D68" s="1" t="s">
        <v>61</v>
      </c>
      <c r="E68" s="1" t="s">
        <v>58</v>
      </c>
      <c r="F68" s="1" t="s">
        <v>59</v>
      </c>
    </row>
    <row r="69" spans="2:10">
      <c r="B69" s="6" t="s">
        <v>55</v>
      </c>
      <c r="C69" s="22">
        <v>1234.56</v>
      </c>
      <c r="D69" s="23">
        <v>123.45</v>
      </c>
      <c r="E69" s="20">
        <v>1234.56</v>
      </c>
      <c r="F69" s="21">
        <v>123.45</v>
      </c>
    </row>
    <row r="70" spans="2:10">
      <c r="B70" s="6" t="s">
        <v>56</v>
      </c>
      <c r="C70" s="22">
        <v>-1234.56</v>
      </c>
      <c r="D70" s="23">
        <v>-123.45</v>
      </c>
      <c r="E70" s="20">
        <v>-1234.56</v>
      </c>
      <c r="F70" s="21">
        <v>-123.45</v>
      </c>
    </row>
    <row r="71" spans="2:10">
      <c r="B71" s="6" t="s">
        <v>57</v>
      </c>
      <c r="C71" s="22">
        <v>0</v>
      </c>
      <c r="D71" s="23">
        <v>0</v>
      </c>
      <c r="E71" s="20">
        <v>0</v>
      </c>
      <c r="F71" s="21">
        <v>0</v>
      </c>
    </row>
    <row r="72" spans="2:10" ht="12" thickBot="1">
      <c r="B72" s="6" t="s">
        <v>10</v>
      </c>
      <c r="C72" s="22" t="s">
        <v>10</v>
      </c>
      <c r="D72" s="23" t="s">
        <v>10</v>
      </c>
      <c r="E72" s="20" t="s">
        <v>10</v>
      </c>
      <c r="F72" s="21" t="s">
        <v>10</v>
      </c>
    </row>
    <row r="73" spans="2:10">
      <c r="B73" s="40"/>
      <c r="C73" s="40"/>
      <c r="D73" s="40"/>
      <c r="E73" s="40"/>
      <c r="F73" s="40"/>
    </row>
    <row r="74" spans="2:10" ht="23">
      <c r="B74" s="1"/>
      <c r="C74" s="1" t="s">
        <v>62</v>
      </c>
      <c r="D74" s="1" t="s">
        <v>63</v>
      </c>
      <c r="E74" s="1" t="s">
        <v>22</v>
      </c>
      <c r="F74" s="1" t="s">
        <v>21</v>
      </c>
    </row>
    <row r="75" spans="2:10">
      <c r="B75" s="6" t="s">
        <v>55</v>
      </c>
      <c r="C75" s="28">
        <v>1234.56</v>
      </c>
      <c r="D75" s="29">
        <v>123.45</v>
      </c>
      <c r="E75" s="26">
        <v>1234.56</v>
      </c>
      <c r="F75" s="27">
        <v>123.45</v>
      </c>
    </row>
    <row r="76" spans="2:10">
      <c r="B76" s="6" t="s">
        <v>56</v>
      </c>
      <c r="C76" s="28">
        <v>-1234.56</v>
      </c>
      <c r="D76" s="29">
        <v>-123.45</v>
      </c>
      <c r="E76" s="26">
        <v>-1234.56</v>
      </c>
      <c r="F76" s="27">
        <v>-123.45</v>
      </c>
    </row>
    <row r="77" spans="2:10">
      <c r="B77" s="6" t="s">
        <v>57</v>
      </c>
      <c r="C77" s="28">
        <v>0</v>
      </c>
      <c r="D77" s="29">
        <v>0</v>
      </c>
      <c r="E77" s="26">
        <v>0</v>
      </c>
      <c r="F77" s="27">
        <v>0</v>
      </c>
    </row>
    <row r="78" spans="2:10" ht="12" thickBot="1">
      <c r="B78" s="6" t="s">
        <v>10</v>
      </c>
      <c r="C78" s="28" t="s">
        <v>10</v>
      </c>
      <c r="D78" s="29" t="s">
        <v>10</v>
      </c>
      <c r="E78" s="26" t="s">
        <v>10</v>
      </c>
      <c r="F78" s="27" t="s">
        <v>10</v>
      </c>
    </row>
    <row r="79" spans="2:10">
      <c r="B79" s="40"/>
      <c r="C79" s="40"/>
      <c r="D79" s="40"/>
      <c r="E79" s="40"/>
      <c r="F79" s="40"/>
    </row>
    <row r="80" spans="2:10" ht="23">
      <c r="B80" s="1"/>
      <c r="C80" s="1" t="s">
        <v>64</v>
      </c>
      <c r="D80" s="1" t="s">
        <v>65</v>
      </c>
      <c r="E80" s="1" t="s">
        <v>24</v>
      </c>
      <c r="F80" s="1" t="s">
        <v>23</v>
      </c>
    </row>
    <row r="81" spans="1:6">
      <c r="B81" s="6" t="s">
        <v>55</v>
      </c>
      <c r="C81" s="32">
        <v>1234.56</v>
      </c>
      <c r="D81" s="33">
        <v>123.45</v>
      </c>
      <c r="E81" s="30">
        <v>1234.56</v>
      </c>
      <c r="F81" s="31">
        <v>123.45</v>
      </c>
    </row>
    <row r="82" spans="1:6">
      <c r="B82" s="6" t="s">
        <v>56</v>
      </c>
      <c r="C82" s="32">
        <v>-1234.56</v>
      </c>
      <c r="D82" s="33">
        <v>-123.45</v>
      </c>
      <c r="E82" s="30">
        <v>-1234.56</v>
      </c>
      <c r="F82" s="31">
        <v>-123.45</v>
      </c>
    </row>
    <row r="83" spans="1:6">
      <c r="B83" s="6" t="s">
        <v>57</v>
      </c>
      <c r="C83" s="32">
        <v>0</v>
      </c>
      <c r="D83" s="33">
        <v>0</v>
      </c>
      <c r="E83" s="30">
        <v>0</v>
      </c>
      <c r="F83" s="31">
        <v>0</v>
      </c>
    </row>
    <row r="84" spans="1:6" ht="12" thickBot="1">
      <c r="B84" s="6" t="s">
        <v>10</v>
      </c>
      <c r="C84" s="32" t="s">
        <v>10</v>
      </c>
      <c r="D84" s="33" t="s">
        <v>10</v>
      </c>
      <c r="E84" s="30" t="s">
        <v>10</v>
      </c>
      <c r="F84" s="31" t="s">
        <v>10</v>
      </c>
    </row>
    <row r="85" spans="1:6">
      <c r="B85" s="40"/>
      <c r="C85" s="40"/>
      <c r="D85" s="40"/>
      <c r="E85" s="40"/>
      <c r="F85" s="40"/>
    </row>
    <row r="86" spans="1:6" ht="23">
      <c r="B86" s="1"/>
      <c r="C86" s="1" t="s">
        <v>15</v>
      </c>
      <c r="D86" s="1" t="s">
        <v>66</v>
      </c>
      <c r="E86" s="1" t="s">
        <v>67</v>
      </c>
    </row>
    <row r="87" spans="1:6" ht="12" thickBot="1">
      <c r="B87" s="6" t="s">
        <v>15</v>
      </c>
      <c r="C87" s="24">
        <v>37591</v>
      </c>
      <c r="D87" s="67">
        <v>37591</v>
      </c>
      <c r="E87" s="34">
        <v>37591</v>
      </c>
    </row>
    <row r="88" spans="1:6">
      <c r="B88" s="40"/>
      <c r="C88" s="40"/>
      <c r="D88" s="40"/>
      <c r="E88" s="40"/>
    </row>
    <row r="89" spans="1:6" ht="18">
      <c r="A89" s="9" t="s">
        <v>79</v>
      </c>
    </row>
    <row r="90" spans="1:6">
      <c r="A90" s="74" t="s">
        <v>78</v>
      </c>
      <c r="B90" s="44"/>
      <c r="C90" s="44"/>
      <c r="D90" s="44"/>
      <c r="E90" s="44"/>
    </row>
    <row r="91" spans="1:6">
      <c r="A91" s="25" t="s">
        <v>553</v>
      </c>
    </row>
    <row r="92" spans="1:6">
      <c r="A92" s="25"/>
    </row>
    <row r="93" spans="1:6" ht="28">
      <c r="A93" s="25"/>
      <c r="B93" s="77" t="s">
        <v>134</v>
      </c>
      <c r="C93" s="77" t="s">
        <v>130</v>
      </c>
      <c r="D93" s="77"/>
      <c r="E93" t="s">
        <v>135</v>
      </c>
    </row>
    <row r="94" spans="1:6">
      <c r="A94" s="25"/>
    </row>
    <row r="95" spans="1:6" ht="23">
      <c r="A95" s="25"/>
      <c r="B95" s="78" t="s">
        <v>36</v>
      </c>
      <c r="C95" s="78" t="s">
        <v>46</v>
      </c>
      <c r="D95" s="78"/>
      <c r="E95" t="s">
        <v>40</v>
      </c>
    </row>
    <row r="97" spans="1:6" ht="18">
      <c r="B97" s="9" t="s">
        <v>37</v>
      </c>
      <c r="C97" s="9" t="s">
        <v>46</v>
      </c>
      <c r="E97" t="s">
        <v>41</v>
      </c>
    </row>
    <row r="99" spans="1:6" ht="15.5">
      <c r="B99" s="36" t="s">
        <v>38</v>
      </c>
      <c r="C99" s="36" t="s">
        <v>46</v>
      </c>
      <c r="E99" t="s">
        <v>42</v>
      </c>
    </row>
    <row r="101" spans="1:6">
      <c r="B101" s="35" t="s">
        <v>39</v>
      </c>
      <c r="C101" s="35" t="s">
        <v>46</v>
      </c>
      <c r="E101" t="s">
        <v>43</v>
      </c>
    </row>
    <row r="103" spans="1:6" ht="18">
      <c r="A103" s="9" t="s">
        <v>45</v>
      </c>
    </row>
    <row r="104" spans="1:6">
      <c r="A104" s="74" t="s">
        <v>49</v>
      </c>
      <c r="B104" s="44"/>
      <c r="C104" s="44"/>
      <c r="D104" s="44"/>
      <c r="E104" s="44"/>
    </row>
    <row r="105" spans="1:6">
      <c r="A105" s="25" t="s">
        <v>554</v>
      </c>
    </row>
    <row r="107" spans="1:6" ht="15.5">
      <c r="A107" s="36" t="s">
        <v>90</v>
      </c>
    </row>
    <row r="108" spans="1:6">
      <c r="B108" s="62" t="s">
        <v>112</v>
      </c>
      <c r="C108" s="1" t="s">
        <v>108</v>
      </c>
      <c r="D108" s="1" t="s">
        <v>108</v>
      </c>
      <c r="E108" s="1" t="s">
        <v>108</v>
      </c>
      <c r="F108" s="1" t="s">
        <v>108</v>
      </c>
    </row>
    <row r="109" spans="1:6">
      <c r="B109" s="6" t="s">
        <v>29</v>
      </c>
    </row>
    <row r="110" spans="1:6">
      <c r="B110" s="6" t="s">
        <v>29</v>
      </c>
    </row>
    <row r="111" spans="1:6" ht="12" thickBot="1">
      <c r="B111" s="6" t="s">
        <v>29</v>
      </c>
    </row>
    <row r="112" spans="1:6">
      <c r="B112" s="40" t="s">
        <v>33</v>
      </c>
      <c r="C112" s="40"/>
      <c r="D112" s="40"/>
      <c r="E112" s="40"/>
      <c r="F112" s="40"/>
    </row>
    <row r="114" spans="1:9" ht="15.5">
      <c r="A114" s="36" t="s">
        <v>91</v>
      </c>
    </row>
    <row r="115" spans="1:9">
      <c r="B115" s="62"/>
      <c r="C115" s="66"/>
      <c r="D115" s="66" t="s">
        <v>121</v>
      </c>
      <c r="E115" s="66"/>
      <c r="F115" s="66" t="s">
        <v>121</v>
      </c>
      <c r="G115" s="66"/>
    </row>
    <row r="116" spans="1:9" ht="23">
      <c r="B116" s="62" t="s">
        <v>112</v>
      </c>
      <c r="C116" s="63" t="s">
        <v>113</v>
      </c>
      <c r="D116" s="1" t="s">
        <v>108</v>
      </c>
      <c r="E116" s="1" t="s">
        <v>108</v>
      </c>
      <c r="F116" s="1" t="s">
        <v>108</v>
      </c>
      <c r="G116" s="1" t="s">
        <v>108</v>
      </c>
    </row>
    <row r="117" spans="1:9">
      <c r="B117" s="6" t="s">
        <v>29</v>
      </c>
      <c r="D117" s="51" t="s">
        <v>75</v>
      </c>
      <c r="E117" s="51"/>
      <c r="F117" s="39" t="s">
        <v>47</v>
      </c>
      <c r="G117" s="39"/>
    </row>
    <row r="118" spans="1:9" ht="12" thickBot="1">
      <c r="B118" s="5" t="s">
        <v>30</v>
      </c>
      <c r="D118" s="51"/>
      <c r="E118" s="51"/>
      <c r="F118" s="39"/>
      <c r="G118" s="39"/>
    </row>
    <row r="119" spans="1:9" ht="12" thickBot="1">
      <c r="B119" s="8" t="s">
        <v>32</v>
      </c>
      <c r="C119" s="37"/>
      <c r="D119" s="37"/>
      <c r="E119" s="37"/>
      <c r="F119" s="75"/>
      <c r="G119" s="75"/>
    </row>
    <row r="120" spans="1:9">
      <c r="B120" s="7" t="s">
        <v>31</v>
      </c>
      <c r="C120" s="38"/>
      <c r="D120" s="38"/>
      <c r="E120" s="38"/>
      <c r="F120" s="38"/>
      <c r="G120" s="38"/>
    </row>
    <row r="123" spans="1:9">
      <c r="A123" t="s">
        <v>555</v>
      </c>
    </row>
    <row r="124" spans="1:9">
      <c r="A124" s="25" t="s">
        <v>556</v>
      </c>
    </row>
    <row r="126" spans="1:9" ht="15.5">
      <c r="A126" s="36" t="s">
        <v>88</v>
      </c>
    </row>
    <row r="127" spans="1:9" ht="12">
      <c r="B127" s="62" t="s">
        <v>115</v>
      </c>
      <c r="C127" s="63" t="s">
        <v>116</v>
      </c>
      <c r="D127" s="63" t="s">
        <v>3</v>
      </c>
      <c r="E127" s="1">
        <v>2000</v>
      </c>
      <c r="F127" s="1">
        <v>2001</v>
      </c>
      <c r="G127" s="1">
        <v>2002</v>
      </c>
      <c r="H127" s="1">
        <v>2003</v>
      </c>
      <c r="I127" s="43" t="s">
        <v>114</v>
      </c>
    </row>
    <row r="128" spans="1:9">
      <c r="B128" s="6" t="s">
        <v>87</v>
      </c>
      <c r="C128" t="s">
        <v>117</v>
      </c>
      <c r="D128" s="25" t="s">
        <v>120</v>
      </c>
      <c r="E128" s="83">
        <v>1000000</v>
      </c>
      <c r="F128" s="11">
        <f t="shared" ref="F128:G130" si="0">E128+($H128-$E128)/3</f>
        <v>1000000</v>
      </c>
      <c r="G128" s="11">
        <f t="shared" si="0"/>
        <v>1000000</v>
      </c>
      <c r="H128" s="10">
        <v>1000000</v>
      </c>
    </row>
    <row r="129" spans="1:8">
      <c r="B129" s="6" t="s">
        <v>85</v>
      </c>
      <c r="C129" t="s">
        <v>117</v>
      </c>
      <c r="D129" s="25" t="s">
        <v>120</v>
      </c>
      <c r="E129" s="12">
        <v>100000</v>
      </c>
      <c r="F129" s="11">
        <f t="shared" si="0"/>
        <v>133333.33333333334</v>
      </c>
      <c r="G129" s="11">
        <f t="shared" si="0"/>
        <v>166666.66666666669</v>
      </c>
      <c r="H129" s="10">
        <v>200000</v>
      </c>
    </row>
    <row r="130" spans="1:8">
      <c r="B130" s="6" t="s">
        <v>86</v>
      </c>
      <c r="C130" t="s">
        <v>117</v>
      </c>
      <c r="D130" s="25" t="s">
        <v>120</v>
      </c>
      <c r="E130" s="52">
        <v>50000</v>
      </c>
      <c r="F130" s="11">
        <f t="shared" si="0"/>
        <v>100000</v>
      </c>
      <c r="G130" s="11">
        <f t="shared" si="0"/>
        <v>150000</v>
      </c>
      <c r="H130" s="10">
        <v>200000</v>
      </c>
    </row>
    <row r="131" spans="1:8">
      <c r="B131" s="7" t="s">
        <v>89</v>
      </c>
      <c r="C131" s="38" t="s">
        <v>117</v>
      </c>
      <c r="D131" s="38"/>
      <c r="E131" s="53">
        <f>SUM(E128:E130)</f>
        <v>1150000</v>
      </c>
      <c r="F131" s="53">
        <f>SUM(F128:F130)</f>
        <v>1233333.3333333333</v>
      </c>
      <c r="G131" s="53">
        <f>SUM(G128:G130)</f>
        <v>1316666.6666666667</v>
      </c>
      <c r="H131" s="53">
        <f>SUM(H128:H130)</f>
        <v>1400000</v>
      </c>
    </row>
    <row r="133" spans="1:8" ht="15.5">
      <c r="A133" s="36" t="s">
        <v>88</v>
      </c>
    </row>
    <row r="134" spans="1:8">
      <c r="B134" s="62" t="s">
        <v>115</v>
      </c>
      <c r="C134" s="63" t="s">
        <v>116</v>
      </c>
      <c r="D134" s="63" t="s">
        <v>3</v>
      </c>
      <c r="E134" s="1">
        <v>2000</v>
      </c>
      <c r="F134" s="1">
        <v>2001</v>
      </c>
      <c r="G134" s="1">
        <v>2002</v>
      </c>
      <c r="H134" s="1">
        <v>2003</v>
      </c>
    </row>
    <row r="135" spans="1:8">
      <c r="B135" s="6" t="s">
        <v>87</v>
      </c>
      <c r="C135" t="s">
        <v>117</v>
      </c>
      <c r="D135" s="25" t="s">
        <v>118</v>
      </c>
      <c r="E135" s="13">
        <f t="array" ref="E135:H137">$E$128:$H$130</f>
        <v>1000000</v>
      </c>
      <c r="F135" s="13">
        <v>1000000</v>
      </c>
      <c r="G135" s="13">
        <v>1000000</v>
      </c>
      <c r="H135" s="13">
        <v>1000000</v>
      </c>
    </row>
    <row r="136" spans="1:8">
      <c r="B136" s="6" t="s">
        <v>85</v>
      </c>
      <c r="C136" t="s">
        <v>117</v>
      </c>
      <c r="D136" s="25" t="s">
        <v>118</v>
      </c>
      <c r="E136" s="13">
        <v>100000</v>
      </c>
      <c r="F136" s="13">
        <v>133333.33333333334</v>
      </c>
      <c r="G136" s="13">
        <v>166666.66666666669</v>
      </c>
      <c r="H136" s="13">
        <v>200000</v>
      </c>
    </row>
    <row r="137" spans="1:8">
      <c r="B137" s="6" t="s">
        <v>86</v>
      </c>
      <c r="C137" t="s">
        <v>117</v>
      </c>
      <c r="D137" s="25" t="s">
        <v>119</v>
      </c>
      <c r="E137" s="64">
        <v>50000</v>
      </c>
      <c r="F137" s="64">
        <v>100000</v>
      </c>
      <c r="G137" s="64">
        <v>150000</v>
      </c>
      <c r="H137" s="64">
        <v>200000</v>
      </c>
    </row>
    <row r="138" spans="1:8">
      <c r="B138" s="7" t="s">
        <v>89</v>
      </c>
      <c r="C138" s="38" t="s">
        <v>117</v>
      </c>
      <c r="D138" s="38"/>
      <c r="E138" s="53">
        <f>SUM(E135:E137)</f>
        <v>1150000</v>
      </c>
      <c r="F138" s="53">
        <f>SUM(F135:F137)</f>
        <v>1233333.3333333333</v>
      </c>
      <c r="G138" s="53">
        <f>SUM(G135:G137)</f>
        <v>1316666.6666666667</v>
      </c>
      <c r="H138" s="53">
        <f>SUM(H135:H137)</f>
        <v>1400000</v>
      </c>
    </row>
    <row r="141" spans="1:8" ht="15.5">
      <c r="A141" s="36" t="s">
        <v>92</v>
      </c>
    </row>
    <row r="142" spans="1:8">
      <c r="B142" s="62" t="s">
        <v>115</v>
      </c>
      <c r="C142" s="63" t="s">
        <v>116</v>
      </c>
      <c r="D142" s="63" t="s">
        <v>3</v>
      </c>
      <c r="E142" s="1">
        <v>2000</v>
      </c>
      <c r="F142" s="1">
        <v>2001</v>
      </c>
      <c r="G142" s="1">
        <v>2002</v>
      </c>
      <c r="H142" s="1">
        <v>2003</v>
      </c>
    </row>
    <row r="143" spans="1:8">
      <c r="B143" s="6" t="s">
        <v>87</v>
      </c>
      <c r="C143" t="s">
        <v>117</v>
      </c>
      <c r="D143" s="25"/>
      <c r="E143" s="4"/>
      <c r="F143" s="14">
        <f t="shared" ref="F143:H145" si="1">(F135+E135)/2</f>
        <v>1000000</v>
      </c>
      <c r="G143" s="14">
        <f t="shared" si="1"/>
        <v>1000000</v>
      </c>
      <c r="H143" s="14">
        <f t="shared" si="1"/>
        <v>1000000</v>
      </c>
    </row>
    <row r="144" spans="1:8">
      <c r="B144" s="6" t="s">
        <v>85</v>
      </c>
      <c r="C144" t="s">
        <v>117</v>
      </c>
      <c r="D144" s="25"/>
      <c r="E144" s="4"/>
      <c r="F144" s="14">
        <f t="shared" si="1"/>
        <v>116666.66666666667</v>
      </c>
      <c r="G144" s="14">
        <f t="shared" si="1"/>
        <v>150000</v>
      </c>
      <c r="H144" s="14">
        <f t="shared" si="1"/>
        <v>183333.33333333334</v>
      </c>
    </row>
    <row r="145" spans="2:9">
      <c r="B145" s="6" t="s">
        <v>86</v>
      </c>
      <c r="C145" t="s">
        <v>117</v>
      </c>
      <c r="D145" s="25"/>
      <c r="E145" s="4"/>
      <c r="F145" s="14">
        <f t="shared" si="1"/>
        <v>75000</v>
      </c>
      <c r="G145" s="14">
        <f t="shared" si="1"/>
        <v>125000</v>
      </c>
      <c r="H145" s="14">
        <f t="shared" si="1"/>
        <v>175000</v>
      </c>
    </row>
    <row r="146" spans="2:9" ht="12">
      <c r="B146" s="59" t="s">
        <v>89</v>
      </c>
      <c r="C146" s="68" t="s">
        <v>117</v>
      </c>
      <c r="D146" s="68"/>
      <c r="E146" s="58"/>
      <c r="F146" s="58">
        <f>SUM(F143:F145)</f>
        <v>1191666.6666666667</v>
      </c>
      <c r="G146" s="58">
        <f>SUM(G143:G145)</f>
        <v>1275000</v>
      </c>
      <c r="H146" s="58">
        <f>SUM(H143:H145)</f>
        <v>1358333.3333333333</v>
      </c>
      <c r="I146" s="43" t="s">
        <v>106</v>
      </c>
    </row>
  </sheetData>
  <conditionalFormatting sqref="C45">
    <cfRule type="cellIs" dxfId="11" priority="1" stopIfTrue="1" operator="notEqual">
      <formula>0</formula>
    </cfRule>
  </conditionalFormatting>
  <dataValidations count="2">
    <dataValidation type="decimal" showInputMessage="1" showErrorMessage="1" errorTitle="Input Parameter" error="Value must lie between 100 and 300" promptTitle="Input Parameter" prompt="Value must lie between 100 and 300" sqref="C12" xr:uid="{00000000-0002-0000-0200-000000000000}">
      <formula1>C13</formula1>
      <formula2>C14</formula2>
    </dataValidation>
    <dataValidation type="list" showInputMessage="1" showErrorMessage="1" errorTitle="Input Parameter" error="Please select value from list" promptTitle="Input Parameter" prompt="Select from list" sqref="C16" xr:uid="{00000000-0002-0000-0200-000001000000}">
      <formula1>$C$17:$C$19</formula1>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6" max="16383" man="1"/>
    <brk id="88" max="16383" man="1"/>
    <brk id="1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autoPageBreaks="0"/>
  </sheetPr>
  <dimension ref="A1:L273"/>
  <sheetViews>
    <sheetView showGridLines="0" defaultGridColor="0" colorId="22" zoomScaleNormal="100" workbookViewId="0">
      <pane ySplit="1" topLeftCell="A2" activePane="bottomLeft" state="frozen"/>
      <selection pane="bottomLeft"/>
    </sheetView>
  </sheetViews>
  <sheetFormatPr baseColWidth="10" defaultColWidth="12.69921875" defaultRowHeight="11.5" outlineLevelRow="1"/>
  <cols>
    <col min="1" max="1" width="6.69921875" customWidth="1"/>
    <col min="2" max="2" width="26.3984375" customWidth="1"/>
    <col min="3" max="3" width="19.69921875" customWidth="1"/>
    <col min="4" max="4" width="18.09765625" customWidth="1"/>
    <col min="5" max="5" width="22.8984375" customWidth="1"/>
    <col min="6" max="6" width="26.3984375" customWidth="1"/>
    <col min="7" max="7" width="18.59765625" customWidth="1"/>
    <col min="8" max="8" width="25.19921875" bestFit="1" customWidth="1"/>
  </cols>
  <sheetData>
    <row r="1" spans="2:6" s="84" customFormat="1" ht="33.75" customHeight="1">
      <c r="C1" s="84" t="s">
        <v>137</v>
      </c>
      <c r="F1" s="117"/>
    </row>
    <row r="3" spans="2:6" ht="23">
      <c r="B3" s="1" t="s">
        <v>562</v>
      </c>
      <c r="C3" s="1" t="s">
        <v>273</v>
      </c>
      <c r="D3" s="1" t="s">
        <v>146</v>
      </c>
    </row>
    <row r="4" spans="2:6">
      <c r="B4" s="310" t="s">
        <v>147</v>
      </c>
      <c r="C4" s="311">
        <v>0.03</v>
      </c>
      <c r="D4" s="310" t="s">
        <v>718</v>
      </c>
    </row>
    <row r="5" spans="2:6">
      <c r="B5" s="310" t="s">
        <v>140</v>
      </c>
      <c r="C5" s="312"/>
      <c r="D5" s="310" t="s">
        <v>719</v>
      </c>
    </row>
    <row r="6" spans="2:6" hidden="1" outlineLevel="1">
      <c r="B6" s="310" t="s">
        <v>140</v>
      </c>
      <c r="C6" s="312"/>
      <c r="D6" s="310" t="s">
        <v>701</v>
      </c>
    </row>
    <row r="7" spans="2:6" hidden="1" outlineLevel="1">
      <c r="B7" s="310" t="s">
        <v>140</v>
      </c>
      <c r="C7" s="312"/>
      <c r="D7" s="310" t="s">
        <v>702</v>
      </c>
    </row>
    <row r="8" spans="2:6" hidden="1" outlineLevel="1">
      <c r="B8" s="310" t="s">
        <v>140</v>
      </c>
      <c r="C8" s="312"/>
      <c r="D8" s="310" t="s">
        <v>703</v>
      </c>
    </row>
    <row r="9" spans="2:6" hidden="1" outlineLevel="1">
      <c r="B9" s="310" t="s">
        <v>140</v>
      </c>
      <c r="C9" s="312"/>
      <c r="D9" s="310" t="s">
        <v>704</v>
      </c>
    </row>
    <row r="10" spans="2:6" hidden="1" outlineLevel="1">
      <c r="B10" s="310" t="s">
        <v>140</v>
      </c>
      <c r="C10" s="312"/>
      <c r="D10" s="310" t="s">
        <v>700</v>
      </c>
    </row>
    <row r="11" spans="2:6" hidden="1" outlineLevel="1">
      <c r="B11" s="310" t="s">
        <v>140</v>
      </c>
      <c r="C11" s="312"/>
      <c r="D11" s="310" t="s">
        <v>720</v>
      </c>
    </row>
    <row r="12" spans="2:6" hidden="1" outlineLevel="1">
      <c r="B12" s="310" t="s">
        <v>418</v>
      </c>
      <c r="C12" s="311">
        <v>0.03</v>
      </c>
      <c r="D12" s="310" t="s">
        <v>694</v>
      </c>
    </row>
    <row r="13" spans="2:6" hidden="1" outlineLevel="1">
      <c r="B13" s="310" t="s">
        <v>140</v>
      </c>
      <c r="C13" s="312"/>
      <c r="D13" s="310" t="s">
        <v>721</v>
      </c>
    </row>
    <row r="14" spans="2:6" hidden="1" outlineLevel="1">
      <c r="B14" s="310" t="s">
        <v>140</v>
      </c>
      <c r="C14" s="312"/>
      <c r="D14" s="310" t="s">
        <v>722</v>
      </c>
    </row>
    <row r="15" spans="2:6" hidden="1" outlineLevel="1">
      <c r="B15" s="310" t="s">
        <v>140</v>
      </c>
      <c r="C15" s="312"/>
      <c r="D15" s="310" t="s">
        <v>695</v>
      </c>
    </row>
    <row r="16" spans="2:6" hidden="1" outlineLevel="1">
      <c r="B16" s="310" t="s">
        <v>140</v>
      </c>
      <c r="C16" s="312"/>
      <c r="D16" s="310" t="s">
        <v>696</v>
      </c>
    </row>
    <row r="17" spans="1:4" hidden="1" outlineLevel="1">
      <c r="B17" s="310" t="s">
        <v>140</v>
      </c>
      <c r="C17" s="312"/>
      <c r="D17" s="310" t="s">
        <v>697</v>
      </c>
    </row>
    <row r="18" spans="1:4" hidden="1" outlineLevel="1">
      <c r="B18" s="310" t="s">
        <v>140</v>
      </c>
      <c r="C18" s="312"/>
      <c r="D18" s="310" t="s">
        <v>698</v>
      </c>
    </row>
    <row r="19" spans="1:4" hidden="1" outlineLevel="1">
      <c r="B19" s="310" t="s">
        <v>140</v>
      </c>
      <c r="C19" s="312"/>
      <c r="D19" s="310" t="s">
        <v>699</v>
      </c>
    </row>
    <row r="20" spans="1:4" hidden="1" outlineLevel="1">
      <c r="B20" s="310" t="s">
        <v>140</v>
      </c>
      <c r="C20" s="312"/>
      <c r="D20" s="310" t="s">
        <v>693</v>
      </c>
    </row>
    <row r="21" spans="1:4" hidden="1" outlineLevel="1">
      <c r="B21" s="310" t="s">
        <v>140</v>
      </c>
      <c r="C21" s="312"/>
      <c r="D21" s="310" t="s">
        <v>723</v>
      </c>
    </row>
    <row r="22" spans="1:4" collapsed="1">
      <c r="B22" s="310" t="s">
        <v>140</v>
      </c>
      <c r="C22" s="312"/>
      <c r="D22" s="310" t="s">
        <v>453</v>
      </c>
    </row>
    <row r="23" spans="1:4">
      <c r="B23" s="310" t="s">
        <v>140</v>
      </c>
      <c r="C23" s="312"/>
      <c r="D23" s="310" t="s">
        <v>724</v>
      </c>
    </row>
    <row r="24" spans="1:4" ht="12">
      <c r="B24" s="43" t="s">
        <v>424</v>
      </c>
      <c r="C24" s="43" t="s">
        <v>274</v>
      </c>
      <c r="D24" s="43" t="s">
        <v>148</v>
      </c>
    </row>
    <row r="26" spans="1:4">
      <c r="B26" s="1" t="s">
        <v>590</v>
      </c>
    </row>
    <row r="27" spans="1:4">
      <c r="A27" s="92" t="s">
        <v>147</v>
      </c>
      <c r="B27" s="310" t="s">
        <v>718</v>
      </c>
      <c r="C27" s="129">
        <f>IF(INDEX(wholesale.offers.type,MATCH(B27,wholesale.offers,0))=A27,0,1)</f>
        <v>0</v>
      </c>
    </row>
    <row r="28" spans="1:4">
      <c r="A28" s="92" t="s">
        <v>418</v>
      </c>
      <c r="B28" s="310" t="s">
        <v>694</v>
      </c>
      <c r="C28" s="129">
        <f>IF(INDEX(wholesale.offers.type,MATCH(B28,wholesale.offers,0))=A28,0,1)</f>
        <v>0</v>
      </c>
    </row>
    <row r="29" spans="1:4" ht="12">
      <c r="B29" s="43" t="s">
        <v>535</v>
      </c>
      <c r="C29" s="43" t="s">
        <v>591</v>
      </c>
    </row>
    <row r="31" spans="1:4" ht="12">
      <c r="B31" s="1" t="s">
        <v>155</v>
      </c>
      <c r="C31" s="43" t="s">
        <v>447</v>
      </c>
    </row>
    <row r="32" spans="1:4">
      <c r="B32" s="264" t="s">
        <v>156</v>
      </c>
    </row>
    <row r="33" spans="2:4">
      <c r="B33" s="264" t="s">
        <v>157</v>
      </c>
    </row>
    <row r="34" spans="2:4">
      <c r="B34" s="264" t="s">
        <v>158</v>
      </c>
    </row>
    <row r="35" spans="2:4">
      <c r="B35" s="264" t="s">
        <v>159</v>
      </c>
    </row>
    <row r="36" spans="2:4" ht="12">
      <c r="B36" s="264" t="s">
        <v>161</v>
      </c>
      <c r="C36" s="43" t="s">
        <v>514</v>
      </c>
    </row>
    <row r="37" spans="2:4">
      <c r="B37" s="264" t="s">
        <v>265</v>
      </c>
    </row>
    <row r="38" spans="2:4" ht="12">
      <c r="B38" s="43" t="s">
        <v>160</v>
      </c>
    </row>
    <row r="40" spans="2:4" ht="23">
      <c r="B40" s="1" t="s">
        <v>502</v>
      </c>
    </row>
    <row r="41" spans="2:4">
      <c r="B41" s="116" t="str">
        <f t="array" ref="B41:B46">voice.destination</f>
        <v>On-net</v>
      </c>
      <c r="D41" s="86" t="str">
        <f>B41</f>
        <v>On-net</v>
      </c>
    </row>
    <row r="42" spans="2:4">
      <c r="B42" s="116" t="str">
        <v>Off-net fixed</v>
      </c>
      <c r="D42" s="86" t="str">
        <f t="shared" ref="D42:D44" si="0">B42</f>
        <v>Off-net fixed</v>
      </c>
    </row>
    <row r="43" spans="2:4">
      <c r="B43" s="116" t="str">
        <v>Off-net mobile</v>
      </c>
      <c r="D43" s="86" t="str">
        <f t="shared" si="0"/>
        <v>Off-net mobile</v>
      </c>
    </row>
    <row r="44" spans="2:4">
      <c r="B44" s="116" t="str">
        <v>International</v>
      </c>
      <c r="D44" s="86" t="str">
        <f t="shared" si="0"/>
        <v>International</v>
      </c>
    </row>
    <row r="45" spans="2:4">
      <c r="B45" s="116" t="str">
        <v>VAS</v>
      </c>
      <c r="D45" s="92" t="s">
        <v>416</v>
      </c>
    </row>
    <row r="46" spans="2:4">
      <c r="B46" s="116" t="str">
        <v>Not used</v>
      </c>
      <c r="D46" s="92" t="s">
        <v>417</v>
      </c>
    </row>
    <row r="47" spans="2:4">
      <c r="B47" s="92" t="s">
        <v>177</v>
      </c>
      <c r="D47" s="86" t="str">
        <f t="shared" ref="D47" si="1">B47</f>
        <v>Termination</v>
      </c>
    </row>
    <row r="48" spans="2:4" ht="12">
      <c r="B48" s="43" t="s">
        <v>503</v>
      </c>
      <c r="D48" s="43" t="s">
        <v>504</v>
      </c>
    </row>
    <row r="50" spans="2:3">
      <c r="B50" s="1" t="s">
        <v>420</v>
      </c>
    </row>
    <row r="51" spans="2:3" ht="12">
      <c r="B51" s="92" t="s">
        <v>147</v>
      </c>
      <c r="C51" s="43" t="s">
        <v>421</v>
      </c>
    </row>
    <row r="52" spans="2:3" ht="12">
      <c r="B52" s="92" t="s">
        <v>418</v>
      </c>
      <c r="C52" s="43" t="s">
        <v>422</v>
      </c>
    </row>
    <row r="53" spans="2:3">
      <c r="B53" s="86" t="str">
        <f>spare</f>
        <v>&lt;Spare&gt;</v>
      </c>
    </row>
    <row r="54" spans="2:3" ht="12">
      <c r="B54" s="43" t="s">
        <v>419</v>
      </c>
    </row>
    <row r="56" spans="2:3">
      <c r="B56" s="1" t="s">
        <v>450</v>
      </c>
    </row>
    <row r="57" spans="2:3">
      <c r="B57" s="313" t="s">
        <v>725</v>
      </c>
    </row>
    <row r="58" spans="2:3">
      <c r="B58" s="313" t="s">
        <v>726</v>
      </c>
    </row>
    <row r="59" spans="2:3">
      <c r="B59" s="313" t="s">
        <v>727</v>
      </c>
    </row>
    <row r="60" spans="2:3">
      <c r="B60" s="313" t="s">
        <v>728</v>
      </c>
    </row>
    <row r="61" spans="2:3">
      <c r="B61" s="313" t="s">
        <v>729</v>
      </c>
    </row>
    <row r="62" spans="2:3">
      <c r="B62" s="313" t="s">
        <v>730</v>
      </c>
    </row>
    <row r="63" spans="2:3">
      <c r="B63" s="313" t="s">
        <v>731</v>
      </c>
    </row>
    <row r="64" spans="2:3">
      <c r="B64" s="313" t="s">
        <v>732</v>
      </c>
    </row>
    <row r="65" spans="2:12">
      <c r="B65" s="313" t="s">
        <v>733</v>
      </c>
    </row>
    <row r="66" spans="2:12" ht="12">
      <c r="B66" s="43" t="s">
        <v>451</v>
      </c>
    </row>
    <row r="68" spans="2:12" ht="12">
      <c r="B68" t="s">
        <v>469</v>
      </c>
      <c r="C68" s="272" t="s">
        <v>306</v>
      </c>
      <c r="D68" s="272" t="s">
        <v>307</v>
      </c>
      <c r="E68" s="272" t="s">
        <v>379</v>
      </c>
      <c r="F68" s="272" t="s">
        <v>380</v>
      </c>
      <c r="G68" s="272" t="s">
        <v>431</v>
      </c>
      <c r="H68" s="272" t="s">
        <v>440</v>
      </c>
      <c r="I68" s="43" t="s">
        <v>475</v>
      </c>
    </row>
    <row r="69" spans="2:12" ht="12">
      <c r="B69" t="s">
        <v>531</v>
      </c>
      <c r="C69" s="273" t="s">
        <v>524</v>
      </c>
      <c r="D69" s="273" t="s">
        <v>525</v>
      </c>
      <c r="E69" s="273" t="s">
        <v>586</v>
      </c>
      <c r="F69" s="273" t="s">
        <v>587</v>
      </c>
      <c r="G69" s="273" t="s">
        <v>526</v>
      </c>
      <c r="H69" s="273" t="s">
        <v>527</v>
      </c>
      <c r="I69" s="273" t="s">
        <v>528</v>
      </c>
      <c r="J69" s="273" t="s">
        <v>529</v>
      </c>
      <c r="K69" s="273" t="s">
        <v>440</v>
      </c>
      <c r="L69" s="43" t="s">
        <v>530</v>
      </c>
    </row>
    <row r="70" spans="2:12" ht="12">
      <c r="B70" t="s">
        <v>470</v>
      </c>
      <c r="C70" s="272" t="s">
        <v>432</v>
      </c>
      <c r="D70" s="272" t="s">
        <v>433</v>
      </c>
      <c r="E70" s="272" t="s">
        <v>434</v>
      </c>
      <c r="F70" s="43" t="s">
        <v>476</v>
      </c>
    </row>
    <row r="71" spans="2:12" ht="12">
      <c r="B71" t="s">
        <v>471</v>
      </c>
      <c r="C71" s="272" t="s">
        <v>435</v>
      </c>
      <c r="D71" s="272" t="s">
        <v>436</v>
      </c>
      <c r="E71" s="272" t="s">
        <v>437</v>
      </c>
      <c r="F71" s="43" t="s">
        <v>477</v>
      </c>
    </row>
    <row r="72" spans="2:12" ht="12">
      <c r="B72" t="s">
        <v>472</v>
      </c>
      <c r="C72" s="272" t="s">
        <v>473</v>
      </c>
      <c r="D72" s="272" t="s">
        <v>474</v>
      </c>
      <c r="E72" s="272" t="s">
        <v>659</v>
      </c>
      <c r="F72" s="43" t="s">
        <v>478</v>
      </c>
    </row>
    <row r="73" spans="2:12" ht="12">
      <c r="B73" t="s">
        <v>479</v>
      </c>
      <c r="C73" s="272" t="s">
        <v>438</v>
      </c>
      <c r="D73" s="272" t="s">
        <v>439</v>
      </c>
      <c r="E73" s="272" t="s">
        <v>440</v>
      </c>
      <c r="F73" s="43" t="s">
        <v>480</v>
      </c>
    </row>
    <row r="75" spans="2:12" ht="12">
      <c r="B75" t="s">
        <v>572</v>
      </c>
      <c r="C75" s="154">
        <f t="array" ref="C75">SUM(ABS(C76:K81))</f>
        <v>0</v>
      </c>
      <c r="D75" s="251" t="s">
        <v>573</v>
      </c>
    </row>
    <row r="76" spans="2:12" hidden="1" outlineLevel="1">
      <c r="B76" t="s">
        <v>469</v>
      </c>
      <c r="C76" s="252">
        <f t="shared" ref="C76:E77" si="2">IF(ISNA(MATCH(C68,revenue.descriptions.short,0)),1,0)</f>
        <v>0</v>
      </c>
      <c r="D76" s="253">
        <f t="shared" si="2"/>
        <v>0</v>
      </c>
      <c r="E76" s="253">
        <f t="shared" si="2"/>
        <v>0</v>
      </c>
      <c r="F76" s="253">
        <f t="shared" ref="F76:H76" si="3">IF(ISNA(MATCH(F68,revenue.descriptions.short,0)),1,0)</f>
        <v>0</v>
      </c>
      <c r="G76" s="253">
        <f t="shared" si="3"/>
        <v>0</v>
      </c>
      <c r="H76" s="253">
        <f t="shared" si="3"/>
        <v>0</v>
      </c>
      <c r="I76" s="270"/>
      <c r="J76" s="270"/>
      <c r="K76" s="259"/>
    </row>
    <row r="77" spans="2:12" hidden="1" outlineLevel="1">
      <c r="B77" t="s">
        <v>531</v>
      </c>
      <c r="C77" s="254">
        <f t="shared" si="2"/>
        <v>0</v>
      </c>
      <c r="D77" s="255">
        <f t="shared" si="2"/>
        <v>0</v>
      </c>
      <c r="E77" s="255">
        <f t="shared" ref="E77:J77" si="4">IF(ISNA(MATCH(E69,revenue.descriptions.short,0)),1,0)</f>
        <v>0</v>
      </c>
      <c r="F77" s="255">
        <f t="shared" si="4"/>
        <v>0</v>
      </c>
      <c r="G77" s="255">
        <f t="shared" si="4"/>
        <v>0</v>
      </c>
      <c r="H77" s="255">
        <f t="shared" si="4"/>
        <v>0</v>
      </c>
      <c r="I77" s="255">
        <f t="shared" si="4"/>
        <v>0</v>
      </c>
      <c r="J77" s="255">
        <f t="shared" si="4"/>
        <v>0</v>
      </c>
      <c r="K77" s="256">
        <f>IF(ISNA(MATCH(K69,revenue.descriptions.short,0)),1,0)</f>
        <v>0</v>
      </c>
    </row>
    <row r="78" spans="2:12" hidden="1" outlineLevel="1">
      <c r="B78" t="s">
        <v>470</v>
      </c>
      <c r="C78" s="254">
        <f t="shared" ref="C78:E81" si="5">IF(ISNA(MATCH(C70,revenue.descriptions.short,0)),1,0)</f>
        <v>0</v>
      </c>
      <c r="D78" s="255">
        <f t="shared" si="5"/>
        <v>0</v>
      </c>
      <c r="E78" s="255">
        <f t="shared" si="5"/>
        <v>0</v>
      </c>
      <c r="F78" s="260"/>
      <c r="G78" s="260"/>
      <c r="H78" s="260"/>
      <c r="I78" s="260"/>
      <c r="J78" s="260"/>
      <c r="K78" s="261"/>
    </row>
    <row r="79" spans="2:12" hidden="1" outlineLevel="1">
      <c r="B79" t="s">
        <v>471</v>
      </c>
      <c r="C79" s="254">
        <f t="shared" si="5"/>
        <v>0</v>
      </c>
      <c r="D79" s="255">
        <f t="shared" si="5"/>
        <v>0</v>
      </c>
      <c r="E79" s="255">
        <f t="shared" si="5"/>
        <v>0</v>
      </c>
      <c r="F79" s="260"/>
      <c r="G79" s="260"/>
      <c r="H79" s="260"/>
      <c r="I79" s="260"/>
      <c r="J79" s="260"/>
      <c r="K79" s="261"/>
    </row>
    <row r="80" spans="2:12" hidden="1" outlineLevel="1">
      <c r="B80" t="s">
        <v>472</v>
      </c>
      <c r="C80" s="254">
        <f t="shared" si="5"/>
        <v>0</v>
      </c>
      <c r="D80" s="255">
        <f t="shared" si="5"/>
        <v>0</v>
      </c>
      <c r="E80" s="255">
        <f t="shared" si="5"/>
        <v>0</v>
      </c>
      <c r="F80" s="260"/>
      <c r="G80" s="260"/>
      <c r="H80" s="260"/>
      <c r="I80" s="260"/>
      <c r="J80" s="260"/>
      <c r="K80" s="261"/>
    </row>
    <row r="81" spans="2:11" hidden="1" outlineLevel="1">
      <c r="B81" t="s">
        <v>479</v>
      </c>
      <c r="C81" s="257">
        <f t="shared" si="5"/>
        <v>0</v>
      </c>
      <c r="D81" s="258">
        <f t="shared" si="5"/>
        <v>0</v>
      </c>
      <c r="E81" s="258">
        <f t="shared" si="5"/>
        <v>0</v>
      </c>
      <c r="F81" s="262"/>
      <c r="G81" s="262"/>
      <c r="H81" s="262"/>
      <c r="I81" s="262"/>
      <c r="J81" s="262"/>
      <c r="K81" s="263"/>
    </row>
    <row r="82" spans="2:11" collapsed="1"/>
    <row r="83" spans="2:11">
      <c r="B83" s="1" t="s">
        <v>557</v>
      </c>
      <c r="C83" s="1" t="s">
        <v>594</v>
      </c>
    </row>
    <row r="84" spans="2:11">
      <c r="B84" s="92" t="s">
        <v>804</v>
      </c>
      <c r="C84" s="186">
        <f>IF(market.retail.subscribers=0,0,market.retail.segment.1.subscribers/market.retail.subscribers)</f>
        <v>0.72423775070184448</v>
      </c>
    </row>
    <row r="85" spans="2:11">
      <c r="B85" s="92" t="s">
        <v>805</v>
      </c>
      <c r="C85" s="186">
        <f>IF(market.retail.subscribers=0,0,market.retail.segment.2.subscribers/market.retail.subscribers)</f>
        <v>0.27576224929815552</v>
      </c>
    </row>
    <row r="86" spans="2:11">
      <c r="B86" s="92" t="s">
        <v>806</v>
      </c>
      <c r="C86" s="186">
        <f>IF(market.retail.subscribers=0,0,market.retail.segment.3.subscribers/market.retail.subscribers)</f>
        <v>0</v>
      </c>
    </row>
    <row r="87" spans="2:11">
      <c r="B87" s="92" t="s">
        <v>807</v>
      </c>
      <c r="C87" s="186">
        <f>IF(market.retail.subscribers=0,0,market.retail.segment.4.subscribers/market.retail.subscribers)</f>
        <v>0</v>
      </c>
    </row>
    <row r="88" spans="2:11" ht="12">
      <c r="B88" s="43" t="s">
        <v>141</v>
      </c>
      <c r="C88" s="43" t="s">
        <v>332</v>
      </c>
    </row>
    <row r="90" spans="2:11" ht="12">
      <c r="B90" s="292">
        <f>ROUND(ABS(IF(SUM(C93:C127)=0,0,SUM(C93:C127)-1))+ABS(IF(SUM(C132:C166)=0,0,SUM(C132:C166)-1))+ABS(IF(SUM(C171:C205)=0,0,SUM(C171:C205)-1))+ABS(IF(SUM(C210:C244)=0,0,SUM(C210:C244)-1)),10)</f>
        <v>0</v>
      </c>
      <c r="C90" s="43" t="s">
        <v>592</v>
      </c>
    </row>
    <row r="91" spans="2:11">
      <c r="B91" s="66" t="s">
        <v>558</v>
      </c>
      <c r="C91" s="66"/>
    </row>
    <row r="92" spans="2:11">
      <c r="B92" s="1" t="s">
        <v>309</v>
      </c>
      <c r="C92" s="1" t="s">
        <v>594</v>
      </c>
      <c r="E92" s="1" t="str">
        <f t="array" ref="E92:H92">TRANSPOSE(list.data.speed.choices)</f>
        <v>As provided by Telenor</v>
      </c>
      <c r="F92" s="1" t="str">
        <v>All Unlimited</v>
      </c>
      <c r="G92" s="1" t="str">
        <v>All 150Mbit/s</v>
      </c>
      <c r="H92" s="1" t="str">
        <v>All 15Mbit/s</v>
      </c>
    </row>
    <row r="93" spans="2:11">
      <c r="B93" s="313" t="s">
        <v>734</v>
      </c>
      <c r="C93" s="314"/>
      <c r="E93" s="315" t="s">
        <v>672</v>
      </c>
      <c r="F93" s="85" t="s">
        <v>672</v>
      </c>
      <c r="G93" s="85" t="s">
        <v>705</v>
      </c>
      <c r="H93" s="85" t="s">
        <v>706</v>
      </c>
      <c r="I93" t="str" cm="1">
        <f t="array" ref="I93">INDEX(E93:H93,1,chosen.data.speed)</f>
        <v>Unlimited</v>
      </c>
    </row>
    <row r="94" spans="2:11" hidden="1" outlineLevel="1">
      <c r="B94" s="313" t="s">
        <v>735</v>
      </c>
      <c r="C94" s="314"/>
      <c r="E94" s="315" t="s">
        <v>672</v>
      </c>
      <c r="F94" s="85" t="s">
        <v>672</v>
      </c>
      <c r="G94" s="85" t="s">
        <v>705</v>
      </c>
      <c r="H94" s="85" t="s">
        <v>706</v>
      </c>
      <c r="I94" t="str" cm="1">
        <f t="array" ref="I94">INDEX(E94:H94,1,chosen.data.speed)</f>
        <v>Unlimited</v>
      </c>
    </row>
    <row r="95" spans="2:11" hidden="1" outlineLevel="1">
      <c r="B95" s="313" t="s">
        <v>736</v>
      </c>
      <c r="C95" s="314"/>
      <c r="E95" s="315" t="s">
        <v>672</v>
      </c>
      <c r="F95" s="85" t="s">
        <v>672</v>
      </c>
      <c r="G95" s="85" t="s">
        <v>705</v>
      </c>
      <c r="H95" s="85" t="s">
        <v>706</v>
      </c>
      <c r="I95" t="str" cm="1">
        <f t="array" ref="I95">INDEX(E95:H95,1,chosen.data.speed)</f>
        <v>Unlimited</v>
      </c>
    </row>
    <row r="96" spans="2:11" hidden="1" outlineLevel="1">
      <c r="B96" s="313" t="s">
        <v>737</v>
      </c>
      <c r="C96" s="314"/>
      <c r="E96" s="315" t="s">
        <v>672</v>
      </c>
      <c r="F96" s="85" t="s">
        <v>672</v>
      </c>
      <c r="G96" s="85" t="s">
        <v>705</v>
      </c>
      <c r="H96" s="85" t="s">
        <v>706</v>
      </c>
      <c r="I96" t="str" cm="1">
        <f t="array" ref="I96">INDEX(E96:H96,1,chosen.data.speed)</f>
        <v>Unlimited</v>
      </c>
    </row>
    <row r="97" spans="2:9" hidden="1" outlineLevel="1">
      <c r="B97" s="313" t="s">
        <v>738</v>
      </c>
      <c r="C97" s="314"/>
      <c r="E97" s="315" t="s">
        <v>672</v>
      </c>
      <c r="F97" s="85" t="s">
        <v>672</v>
      </c>
      <c r="G97" s="85" t="s">
        <v>705</v>
      </c>
      <c r="H97" s="85" t="s">
        <v>706</v>
      </c>
      <c r="I97" t="str" cm="1">
        <f t="array" ref="I97">INDEX(E97:H97,1,chosen.data.speed)</f>
        <v>Unlimited</v>
      </c>
    </row>
    <row r="98" spans="2:9" hidden="1" outlineLevel="1">
      <c r="B98" s="313" t="s">
        <v>739</v>
      </c>
      <c r="C98" s="314"/>
      <c r="E98" s="315" t="s">
        <v>672</v>
      </c>
      <c r="F98" s="85" t="s">
        <v>672</v>
      </c>
      <c r="G98" s="85" t="s">
        <v>705</v>
      </c>
      <c r="H98" s="85" t="s">
        <v>706</v>
      </c>
      <c r="I98" t="str" cm="1">
        <f t="array" ref="I98">INDEX(E98:H98,1,chosen.data.speed)</f>
        <v>Unlimited</v>
      </c>
    </row>
    <row r="99" spans="2:9" hidden="1" outlineLevel="1">
      <c r="B99" s="313" t="s">
        <v>740</v>
      </c>
      <c r="C99" s="314"/>
      <c r="E99" s="315" t="s">
        <v>672</v>
      </c>
      <c r="F99" s="85" t="s">
        <v>672</v>
      </c>
      <c r="G99" s="85" t="s">
        <v>705</v>
      </c>
      <c r="H99" s="85" t="s">
        <v>706</v>
      </c>
      <c r="I99" t="str" cm="1">
        <f t="array" ref="I99">INDEX(E99:H99,1,chosen.data.speed)</f>
        <v>Unlimited</v>
      </c>
    </row>
    <row r="100" spans="2:9" hidden="1" outlineLevel="1">
      <c r="B100" s="313" t="s">
        <v>741</v>
      </c>
      <c r="C100" s="314"/>
      <c r="E100" s="315" t="s">
        <v>672</v>
      </c>
      <c r="F100" s="85" t="s">
        <v>672</v>
      </c>
      <c r="G100" s="85" t="s">
        <v>705</v>
      </c>
      <c r="H100" s="85" t="s">
        <v>706</v>
      </c>
      <c r="I100" t="str" cm="1">
        <f t="array" ref="I100">INDEX(E100:H100,1,chosen.data.speed)</f>
        <v>Unlimited</v>
      </c>
    </row>
    <row r="101" spans="2:9" hidden="1" outlineLevel="1">
      <c r="B101" s="313" t="s">
        <v>742</v>
      </c>
      <c r="C101" s="314"/>
      <c r="E101" s="315" t="s">
        <v>672</v>
      </c>
      <c r="F101" s="85" t="s">
        <v>672</v>
      </c>
      <c r="G101" s="85" t="s">
        <v>705</v>
      </c>
      <c r="H101" s="85" t="s">
        <v>706</v>
      </c>
      <c r="I101" t="str" cm="1">
        <f t="array" ref="I101">INDEX(E101:H101,1,chosen.data.speed)</f>
        <v>Unlimited</v>
      </c>
    </row>
    <row r="102" spans="2:9" hidden="1" outlineLevel="1">
      <c r="B102" s="313" t="s">
        <v>743</v>
      </c>
      <c r="C102" s="314"/>
      <c r="E102" s="315" t="s">
        <v>672</v>
      </c>
      <c r="F102" s="85" t="s">
        <v>672</v>
      </c>
      <c r="G102" s="85" t="s">
        <v>705</v>
      </c>
      <c r="H102" s="85" t="s">
        <v>706</v>
      </c>
      <c r="I102" t="str" cm="1">
        <f t="array" ref="I102">INDEX(E102:H102,1,chosen.data.speed)</f>
        <v>Unlimited</v>
      </c>
    </row>
    <row r="103" spans="2:9" hidden="1" outlineLevel="1">
      <c r="B103" s="313" t="s">
        <v>744</v>
      </c>
      <c r="C103" s="314"/>
      <c r="E103" s="315" t="s">
        <v>672</v>
      </c>
      <c r="F103" s="85" t="s">
        <v>672</v>
      </c>
      <c r="G103" s="85" t="s">
        <v>705</v>
      </c>
      <c r="H103" s="85" t="s">
        <v>706</v>
      </c>
      <c r="I103" t="str" cm="1">
        <f t="array" ref="I103">INDEX(E103:H103,1,chosen.data.speed)</f>
        <v>Unlimited</v>
      </c>
    </row>
    <row r="104" spans="2:9" hidden="1" outlineLevel="1">
      <c r="B104" s="313" t="s">
        <v>745</v>
      </c>
      <c r="C104" s="314"/>
      <c r="E104" s="315" t="s">
        <v>672</v>
      </c>
      <c r="F104" s="85" t="s">
        <v>672</v>
      </c>
      <c r="G104" s="85" t="s">
        <v>705</v>
      </c>
      <c r="H104" s="85" t="s">
        <v>706</v>
      </c>
      <c r="I104" t="str" cm="1">
        <f t="array" ref="I104">INDEX(E104:H104,1,chosen.data.speed)</f>
        <v>Unlimited</v>
      </c>
    </row>
    <row r="105" spans="2:9" hidden="1" outlineLevel="1">
      <c r="B105" s="313" t="s">
        <v>746</v>
      </c>
      <c r="C105" s="314"/>
      <c r="E105" s="315" t="s">
        <v>672</v>
      </c>
      <c r="F105" s="85" t="s">
        <v>672</v>
      </c>
      <c r="G105" s="85" t="s">
        <v>705</v>
      </c>
      <c r="H105" s="85" t="s">
        <v>706</v>
      </c>
      <c r="I105" t="str" cm="1">
        <f t="array" ref="I105">INDEX(E105:H105,1,chosen.data.speed)</f>
        <v>Unlimited</v>
      </c>
    </row>
    <row r="106" spans="2:9" hidden="1" outlineLevel="1">
      <c r="B106" s="313" t="s">
        <v>747</v>
      </c>
      <c r="C106" s="314"/>
      <c r="E106" s="315" t="s">
        <v>672</v>
      </c>
      <c r="F106" s="85" t="s">
        <v>672</v>
      </c>
      <c r="G106" s="85" t="s">
        <v>705</v>
      </c>
      <c r="H106" s="85" t="s">
        <v>706</v>
      </c>
      <c r="I106" t="str" cm="1">
        <f t="array" ref="I106">INDEX(E106:H106,1,chosen.data.speed)</f>
        <v>Unlimited</v>
      </c>
    </row>
    <row r="107" spans="2:9" hidden="1" outlineLevel="1">
      <c r="B107" s="313" t="s">
        <v>748</v>
      </c>
      <c r="C107" s="314"/>
      <c r="E107" s="315" t="s">
        <v>672</v>
      </c>
      <c r="F107" s="85" t="s">
        <v>672</v>
      </c>
      <c r="G107" s="85" t="s">
        <v>705</v>
      </c>
      <c r="H107" s="85" t="s">
        <v>706</v>
      </c>
      <c r="I107" t="str" cm="1">
        <f t="array" ref="I107">INDEX(E107:H107,1,chosen.data.speed)</f>
        <v>Unlimited</v>
      </c>
    </row>
    <row r="108" spans="2:9" hidden="1" outlineLevel="1">
      <c r="B108" s="313" t="s">
        <v>749</v>
      </c>
      <c r="C108" s="314"/>
      <c r="E108" s="315" t="s">
        <v>672</v>
      </c>
      <c r="F108" s="85" t="s">
        <v>672</v>
      </c>
      <c r="G108" s="85" t="s">
        <v>705</v>
      </c>
      <c r="H108" s="85" t="s">
        <v>706</v>
      </c>
      <c r="I108" t="str" cm="1">
        <f t="array" ref="I108">INDEX(E108:H108,1,chosen.data.speed)</f>
        <v>Unlimited</v>
      </c>
    </row>
    <row r="109" spans="2:9" hidden="1" outlineLevel="1">
      <c r="B109" s="313" t="s">
        <v>750</v>
      </c>
      <c r="C109" s="314"/>
      <c r="E109" s="315" t="s">
        <v>672</v>
      </c>
      <c r="F109" s="85" t="s">
        <v>672</v>
      </c>
      <c r="G109" s="85" t="s">
        <v>705</v>
      </c>
      <c r="H109" s="85" t="s">
        <v>706</v>
      </c>
      <c r="I109" t="str" cm="1">
        <f t="array" ref="I109">INDEX(E109:H109,1,chosen.data.speed)</f>
        <v>Unlimited</v>
      </c>
    </row>
    <row r="110" spans="2:9" hidden="1" outlineLevel="1">
      <c r="B110" s="313" t="s">
        <v>751</v>
      </c>
      <c r="C110" s="314"/>
      <c r="E110" s="315" t="s">
        <v>672</v>
      </c>
      <c r="F110" s="85" t="s">
        <v>672</v>
      </c>
      <c r="G110" s="85" t="s">
        <v>705</v>
      </c>
      <c r="H110" s="85" t="s">
        <v>706</v>
      </c>
      <c r="I110" t="str" cm="1">
        <f t="array" ref="I110">INDEX(E110:H110,1,chosen.data.speed)</f>
        <v>Unlimited</v>
      </c>
    </row>
    <row r="111" spans="2:9" hidden="1" outlineLevel="1">
      <c r="B111" s="313" t="s">
        <v>752</v>
      </c>
      <c r="C111" s="314"/>
      <c r="E111" s="315" t="s">
        <v>672</v>
      </c>
      <c r="F111" s="85" t="s">
        <v>672</v>
      </c>
      <c r="G111" s="85" t="s">
        <v>705</v>
      </c>
      <c r="H111" s="85" t="s">
        <v>706</v>
      </c>
      <c r="I111" t="str" cm="1">
        <f t="array" ref="I111">INDEX(E111:H111,1,chosen.data.speed)</f>
        <v>Unlimited</v>
      </c>
    </row>
    <row r="112" spans="2:9" hidden="1" outlineLevel="1">
      <c r="B112" s="313" t="s">
        <v>753</v>
      </c>
      <c r="C112" s="314"/>
      <c r="E112" s="315" t="s">
        <v>672</v>
      </c>
      <c r="F112" s="85" t="s">
        <v>672</v>
      </c>
      <c r="G112" s="85" t="s">
        <v>705</v>
      </c>
      <c r="H112" s="85" t="s">
        <v>706</v>
      </c>
      <c r="I112" t="str" cm="1">
        <f t="array" ref="I112">INDEX(E112:H112,1,chosen.data.speed)</f>
        <v>Unlimited</v>
      </c>
    </row>
    <row r="113" spans="2:9" hidden="1" outlineLevel="1">
      <c r="B113" s="313" t="s">
        <v>754</v>
      </c>
      <c r="C113" s="314"/>
      <c r="E113" s="315" t="s">
        <v>672</v>
      </c>
      <c r="F113" s="85" t="s">
        <v>672</v>
      </c>
      <c r="G113" s="85" t="s">
        <v>705</v>
      </c>
      <c r="H113" s="85" t="s">
        <v>706</v>
      </c>
      <c r="I113" t="str" cm="1">
        <f t="array" ref="I113">INDEX(E113:H113,1,chosen.data.speed)</f>
        <v>Unlimited</v>
      </c>
    </row>
    <row r="114" spans="2:9" hidden="1" outlineLevel="1">
      <c r="B114" s="313" t="s">
        <v>755</v>
      </c>
      <c r="C114" s="314"/>
      <c r="E114" s="315" t="s">
        <v>672</v>
      </c>
      <c r="F114" s="85" t="s">
        <v>672</v>
      </c>
      <c r="G114" s="85" t="s">
        <v>705</v>
      </c>
      <c r="H114" s="85" t="s">
        <v>706</v>
      </c>
      <c r="I114" t="str" cm="1">
        <f t="array" ref="I114">INDEX(E114:H114,1,chosen.data.speed)</f>
        <v>Unlimited</v>
      </c>
    </row>
    <row r="115" spans="2:9" hidden="1" outlineLevel="1">
      <c r="B115" s="313" t="s">
        <v>756</v>
      </c>
      <c r="C115" s="314"/>
      <c r="E115" s="315" t="s">
        <v>672</v>
      </c>
      <c r="F115" s="85" t="s">
        <v>672</v>
      </c>
      <c r="G115" s="85" t="s">
        <v>705</v>
      </c>
      <c r="H115" s="85" t="s">
        <v>706</v>
      </c>
      <c r="I115" t="str" cm="1">
        <f t="array" ref="I115">INDEX(E115:H115,1,chosen.data.speed)</f>
        <v>Unlimited</v>
      </c>
    </row>
    <row r="116" spans="2:9" hidden="1" outlineLevel="1">
      <c r="B116" s="313" t="s">
        <v>757</v>
      </c>
      <c r="C116" s="314"/>
      <c r="E116" s="315" t="s">
        <v>672</v>
      </c>
      <c r="F116" s="85" t="s">
        <v>672</v>
      </c>
      <c r="G116" s="85" t="s">
        <v>705</v>
      </c>
      <c r="H116" s="85" t="s">
        <v>706</v>
      </c>
      <c r="I116" t="str" cm="1">
        <f t="array" ref="I116">INDEX(E116:H116,1,chosen.data.speed)</f>
        <v>Unlimited</v>
      </c>
    </row>
    <row r="117" spans="2:9" hidden="1" outlineLevel="1">
      <c r="B117" s="313" t="s">
        <v>758</v>
      </c>
      <c r="C117" s="314"/>
      <c r="E117" s="315" t="s">
        <v>672</v>
      </c>
      <c r="F117" s="85" t="s">
        <v>672</v>
      </c>
      <c r="G117" s="85" t="s">
        <v>705</v>
      </c>
      <c r="H117" s="85" t="s">
        <v>706</v>
      </c>
      <c r="I117" t="str" cm="1">
        <f t="array" ref="I117">INDEX(E117:H117,1,chosen.data.speed)</f>
        <v>Unlimited</v>
      </c>
    </row>
    <row r="118" spans="2:9" hidden="1" outlineLevel="1">
      <c r="B118" s="313" t="s">
        <v>759</v>
      </c>
      <c r="C118" s="314"/>
      <c r="E118" s="315" t="s">
        <v>672</v>
      </c>
      <c r="F118" s="85" t="s">
        <v>672</v>
      </c>
      <c r="G118" s="85" t="s">
        <v>705</v>
      </c>
      <c r="H118" s="85" t="s">
        <v>706</v>
      </c>
      <c r="I118" t="str" cm="1">
        <f t="array" ref="I118">INDEX(E118:H118,1,chosen.data.speed)</f>
        <v>Unlimited</v>
      </c>
    </row>
    <row r="119" spans="2:9" hidden="1" outlineLevel="1">
      <c r="B119" s="313" t="s">
        <v>760</v>
      </c>
      <c r="C119" s="314"/>
      <c r="E119" s="315" t="s">
        <v>672</v>
      </c>
      <c r="F119" s="85" t="s">
        <v>672</v>
      </c>
      <c r="G119" s="85" t="s">
        <v>705</v>
      </c>
      <c r="H119" s="85" t="s">
        <v>706</v>
      </c>
      <c r="I119" t="str" cm="1">
        <f t="array" ref="I119">INDEX(E119:H119,1,chosen.data.speed)</f>
        <v>Unlimited</v>
      </c>
    </row>
    <row r="120" spans="2:9" hidden="1" outlineLevel="1">
      <c r="B120" s="313" t="s">
        <v>761</v>
      </c>
      <c r="C120" s="314"/>
      <c r="E120" s="315" t="s">
        <v>672</v>
      </c>
      <c r="F120" s="85" t="s">
        <v>672</v>
      </c>
      <c r="G120" s="85" t="s">
        <v>705</v>
      </c>
      <c r="H120" s="85" t="s">
        <v>706</v>
      </c>
      <c r="I120" t="str" cm="1">
        <f t="array" ref="I120">INDEX(E120:H120,1,chosen.data.speed)</f>
        <v>Unlimited</v>
      </c>
    </row>
    <row r="121" spans="2:9" hidden="1" outlineLevel="1">
      <c r="B121" s="313" t="s">
        <v>762</v>
      </c>
      <c r="C121" s="314"/>
      <c r="E121" s="315" t="s">
        <v>672</v>
      </c>
      <c r="F121" s="85" t="s">
        <v>672</v>
      </c>
      <c r="G121" s="85" t="s">
        <v>705</v>
      </c>
      <c r="H121" s="85" t="s">
        <v>706</v>
      </c>
      <c r="I121" t="str" cm="1">
        <f t="array" ref="I121">INDEX(E121:H121,1,chosen.data.speed)</f>
        <v>Unlimited</v>
      </c>
    </row>
    <row r="122" spans="2:9" hidden="1" outlineLevel="1">
      <c r="B122" s="313" t="s">
        <v>763</v>
      </c>
      <c r="C122" s="314"/>
      <c r="E122" s="315" t="s">
        <v>672</v>
      </c>
      <c r="F122" s="85" t="s">
        <v>672</v>
      </c>
      <c r="G122" s="85" t="s">
        <v>705</v>
      </c>
      <c r="H122" s="85" t="s">
        <v>706</v>
      </c>
      <c r="I122" t="str" cm="1">
        <f t="array" ref="I122">INDEX(E122:H122,1,chosen.data.speed)</f>
        <v>Unlimited</v>
      </c>
    </row>
    <row r="123" spans="2:9" hidden="1" outlineLevel="1">
      <c r="B123" s="313" t="s">
        <v>764</v>
      </c>
      <c r="C123" s="314"/>
      <c r="E123" s="315" t="s">
        <v>672</v>
      </c>
      <c r="F123" s="85" t="s">
        <v>672</v>
      </c>
      <c r="G123" s="85" t="s">
        <v>705</v>
      </c>
      <c r="H123" s="85" t="s">
        <v>706</v>
      </c>
      <c r="I123" t="str" cm="1">
        <f t="array" ref="I123">INDEX(E123:H123,1,chosen.data.speed)</f>
        <v>Unlimited</v>
      </c>
    </row>
    <row r="124" spans="2:9" hidden="1" outlineLevel="1">
      <c r="B124" s="313" t="s">
        <v>765</v>
      </c>
      <c r="C124" s="314"/>
      <c r="E124" s="315" t="s">
        <v>672</v>
      </c>
      <c r="F124" s="85" t="s">
        <v>672</v>
      </c>
      <c r="G124" s="85" t="s">
        <v>705</v>
      </c>
      <c r="H124" s="85" t="s">
        <v>706</v>
      </c>
      <c r="I124" t="str" cm="1">
        <f t="array" ref="I124">INDEX(E124:H124,1,chosen.data.speed)</f>
        <v>Unlimited</v>
      </c>
    </row>
    <row r="125" spans="2:9" hidden="1" outlineLevel="1">
      <c r="B125" s="313" t="s">
        <v>766</v>
      </c>
      <c r="C125" s="314"/>
      <c r="E125" s="315" t="s">
        <v>672</v>
      </c>
      <c r="F125" s="85" t="s">
        <v>672</v>
      </c>
      <c r="G125" s="85" t="s">
        <v>705</v>
      </c>
      <c r="H125" s="85" t="s">
        <v>706</v>
      </c>
      <c r="I125" t="str" cm="1">
        <f t="array" ref="I125">INDEX(E125:H125,1,chosen.data.speed)</f>
        <v>Unlimited</v>
      </c>
    </row>
    <row r="126" spans="2:9" hidden="1" outlineLevel="1">
      <c r="B126" s="313" t="s">
        <v>767</v>
      </c>
      <c r="C126" s="314"/>
      <c r="E126" s="315" t="s">
        <v>672</v>
      </c>
      <c r="F126" s="85" t="s">
        <v>672</v>
      </c>
      <c r="G126" s="85" t="s">
        <v>705</v>
      </c>
      <c r="H126" s="85" t="s">
        <v>706</v>
      </c>
      <c r="I126" t="str" cm="1">
        <f t="array" ref="I126">INDEX(E126:H126,1,chosen.data.speed)</f>
        <v>Unlimited</v>
      </c>
    </row>
    <row r="127" spans="2:9" collapsed="1">
      <c r="B127" s="313" t="s">
        <v>768</v>
      </c>
      <c r="C127" s="314"/>
      <c r="E127" s="315" t="s">
        <v>672</v>
      </c>
      <c r="F127" s="85" t="s">
        <v>672</v>
      </c>
      <c r="G127" s="85" t="s">
        <v>705</v>
      </c>
      <c r="H127" s="85" t="s">
        <v>706</v>
      </c>
      <c r="I127" t="str" cm="1">
        <f t="array" ref="I127">INDEX(E127:H127,1,chosen.data.speed)</f>
        <v>Unlimited</v>
      </c>
    </row>
    <row r="128" spans="2:9" ht="12">
      <c r="B128" s="43" t="s">
        <v>142</v>
      </c>
      <c r="C128" s="43" t="s">
        <v>227</v>
      </c>
      <c r="I128" s="43" t="s">
        <v>682</v>
      </c>
    </row>
    <row r="129" spans="2:9">
      <c r="C129" s="82"/>
    </row>
    <row r="130" spans="2:9">
      <c r="B130" s="66" t="s">
        <v>559</v>
      </c>
      <c r="C130" s="66"/>
    </row>
    <row r="131" spans="2:9">
      <c r="B131" s="1" t="s">
        <v>309</v>
      </c>
      <c r="C131" s="1" t="s">
        <v>594</v>
      </c>
      <c r="E131" s="1" t="str">
        <f t="array" ref="E131:H131">TRANSPOSE(list.data.speed.choices)</f>
        <v>As provided by Telenor</v>
      </c>
      <c r="F131" s="1" t="str">
        <v>All Unlimited</v>
      </c>
      <c r="G131" s="1" t="str">
        <v>All 150Mbit/s</v>
      </c>
      <c r="H131" s="1" t="str">
        <v>All 15Mbit/s</v>
      </c>
    </row>
    <row r="132" spans="2:9">
      <c r="B132" s="313" t="s">
        <v>769</v>
      </c>
      <c r="C132" s="314"/>
      <c r="E132" s="315" t="s">
        <v>672</v>
      </c>
      <c r="F132" s="85" t="s">
        <v>672</v>
      </c>
      <c r="G132" s="85" t="s">
        <v>705</v>
      </c>
      <c r="H132" s="85" t="s">
        <v>706</v>
      </c>
      <c r="I132" t="str" cm="1">
        <f t="array" ref="I132">INDEX(E132:H132,1,chosen.data.speed)</f>
        <v>Unlimited</v>
      </c>
    </row>
    <row r="133" spans="2:9" hidden="1" outlineLevel="1">
      <c r="B133" s="313" t="s">
        <v>770</v>
      </c>
      <c r="C133" s="314"/>
      <c r="E133" s="315" t="s">
        <v>672</v>
      </c>
      <c r="F133" s="85" t="s">
        <v>672</v>
      </c>
      <c r="G133" s="85" t="s">
        <v>705</v>
      </c>
      <c r="H133" s="85" t="s">
        <v>706</v>
      </c>
      <c r="I133" t="str" cm="1">
        <f t="array" ref="I133">INDEX(E133:H133,1,chosen.data.speed)</f>
        <v>Unlimited</v>
      </c>
    </row>
    <row r="134" spans="2:9" hidden="1" outlineLevel="1">
      <c r="B134" s="313" t="s">
        <v>771</v>
      </c>
      <c r="C134" s="314"/>
      <c r="E134" s="315" t="s">
        <v>672</v>
      </c>
      <c r="F134" s="85" t="s">
        <v>672</v>
      </c>
      <c r="G134" s="85" t="s">
        <v>705</v>
      </c>
      <c r="H134" s="85" t="s">
        <v>706</v>
      </c>
      <c r="I134" t="str" cm="1">
        <f t="array" ref="I134">INDEX(E134:H134,1,chosen.data.speed)</f>
        <v>Unlimited</v>
      </c>
    </row>
    <row r="135" spans="2:9" hidden="1" outlineLevel="1">
      <c r="B135" s="313" t="s">
        <v>772</v>
      </c>
      <c r="C135" s="314"/>
      <c r="E135" s="315" t="s">
        <v>672</v>
      </c>
      <c r="F135" s="85" t="s">
        <v>672</v>
      </c>
      <c r="G135" s="85" t="s">
        <v>705</v>
      </c>
      <c r="H135" s="85" t="s">
        <v>706</v>
      </c>
      <c r="I135" t="str" cm="1">
        <f t="array" ref="I135">INDEX(E135:H135,1,chosen.data.speed)</f>
        <v>Unlimited</v>
      </c>
    </row>
    <row r="136" spans="2:9" hidden="1" outlineLevel="1">
      <c r="B136" s="313" t="s">
        <v>773</v>
      </c>
      <c r="C136" s="314"/>
      <c r="E136" s="315" t="s">
        <v>672</v>
      </c>
      <c r="F136" s="85" t="s">
        <v>672</v>
      </c>
      <c r="G136" s="85" t="s">
        <v>705</v>
      </c>
      <c r="H136" s="85" t="s">
        <v>706</v>
      </c>
      <c r="I136" t="str" cm="1">
        <f t="array" ref="I136">INDEX(E136:H136,1,chosen.data.speed)</f>
        <v>Unlimited</v>
      </c>
    </row>
    <row r="137" spans="2:9" hidden="1" outlineLevel="1">
      <c r="B137" s="313" t="s">
        <v>774</v>
      </c>
      <c r="C137" s="314"/>
      <c r="E137" s="315" t="s">
        <v>672</v>
      </c>
      <c r="F137" s="85" t="s">
        <v>672</v>
      </c>
      <c r="G137" s="85" t="s">
        <v>705</v>
      </c>
      <c r="H137" s="85" t="s">
        <v>706</v>
      </c>
      <c r="I137" t="str" cm="1">
        <f t="array" ref="I137">INDEX(E137:H137,1,chosen.data.speed)</f>
        <v>Unlimited</v>
      </c>
    </row>
    <row r="138" spans="2:9" hidden="1" outlineLevel="1">
      <c r="B138" s="313" t="s">
        <v>775</v>
      </c>
      <c r="C138" s="314"/>
      <c r="E138" s="315" t="s">
        <v>672</v>
      </c>
      <c r="F138" s="85" t="s">
        <v>672</v>
      </c>
      <c r="G138" s="85" t="s">
        <v>705</v>
      </c>
      <c r="H138" s="85" t="s">
        <v>706</v>
      </c>
      <c r="I138" t="str" cm="1">
        <f t="array" ref="I138">INDEX(E138:H138,1,chosen.data.speed)</f>
        <v>Unlimited</v>
      </c>
    </row>
    <row r="139" spans="2:9" hidden="1" outlineLevel="1">
      <c r="B139" s="313" t="s">
        <v>776</v>
      </c>
      <c r="C139" s="314"/>
      <c r="E139" s="315" t="s">
        <v>672</v>
      </c>
      <c r="F139" s="85" t="s">
        <v>672</v>
      </c>
      <c r="G139" s="85" t="s">
        <v>705</v>
      </c>
      <c r="H139" s="85" t="s">
        <v>706</v>
      </c>
      <c r="I139" t="str" cm="1">
        <f t="array" ref="I139">INDEX(E139:H139,1,chosen.data.speed)</f>
        <v>Unlimited</v>
      </c>
    </row>
    <row r="140" spans="2:9" hidden="1" outlineLevel="1">
      <c r="B140" s="313" t="s">
        <v>777</v>
      </c>
      <c r="C140" s="314"/>
      <c r="E140" s="315" t="s">
        <v>672</v>
      </c>
      <c r="F140" s="85" t="s">
        <v>672</v>
      </c>
      <c r="G140" s="85" t="s">
        <v>705</v>
      </c>
      <c r="H140" s="85" t="s">
        <v>706</v>
      </c>
      <c r="I140" t="str" cm="1">
        <f t="array" ref="I140">INDEX(E140:H140,1,chosen.data.speed)</f>
        <v>Unlimited</v>
      </c>
    </row>
    <row r="141" spans="2:9" hidden="1" outlineLevel="1">
      <c r="B141" s="313" t="s">
        <v>778</v>
      </c>
      <c r="C141" s="314"/>
      <c r="E141" s="315" t="s">
        <v>672</v>
      </c>
      <c r="F141" s="85" t="s">
        <v>672</v>
      </c>
      <c r="G141" s="85" t="s">
        <v>705</v>
      </c>
      <c r="H141" s="85" t="s">
        <v>706</v>
      </c>
      <c r="I141" t="str" cm="1">
        <f t="array" ref="I141">INDEX(E141:H141,1,chosen.data.speed)</f>
        <v>Unlimited</v>
      </c>
    </row>
    <row r="142" spans="2:9" hidden="1" outlineLevel="1">
      <c r="B142" s="313" t="s">
        <v>779</v>
      </c>
      <c r="C142" s="314"/>
      <c r="E142" s="315" t="s">
        <v>672</v>
      </c>
      <c r="F142" s="85" t="s">
        <v>672</v>
      </c>
      <c r="G142" s="85" t="s">
        <v>705</v>
      </c>
      <c r="H142" s="85" t="s">
        <v>706</v>
      </c>
      <c r="I142" t="str" cm="1">
        <f t="array" ref="I142">INDEX(E142:H142,1,chosen.data.speed)</f>
        <v>Unlimited</v>
      </c>
    </row>
    <row r="143" spans="2:9" hidden="1" outlineLevel="1">
      <c r="B143" s="313" t="s">
        <v>780</v>
      </c>
      <c r="C143" s="314"/>
      <c r="E143" s="315" t="s">
        <v>672</v>
      </c>
      <c r="F143" s="85" t="s">
        <v>672</v>
      </c>
      <c r="G143" s="85" t="s">
        <v>705</v>
      </c>
      <c r="H143" s="85" t="s">
        <v>706</v>
      </c>
      <c r="I143" t="str" cm="1">
        <f t="array" ref="I143">INDEX(E143:H143,1,chosen.data.speed)</f>
        <v>Unlimited</v>
      </c>
    </row>
    <row r="144" spans="2:9" hidden="1" outlineLevel="1">
      <c r="B144" s="313" t="s">
        <v>781</v>
      </c>
      <c r="C144" s="314"/>
      <c r="E144" s="315" t="s">
        <v>672</v>
      </c>
      <c r="F144" s="85" t="s">
        <v>672</v>
      </c>
      <c r="G144" s="85" t="s">
        <v>705</v>
      </c>
      <c r="H144" s="85" t="s">
        <v>706</v>
      </c>
      <c r="I144" t="str" cm="1">
        <f t="array" ref="I144">INDEX(E144:H144,1,chosen.data.speed)</f>
        <v>Unlimited</v>
      </c>
    </row>
    <row r="145" spans="2:9" hidden="1" outlineLevel="1">
      <c r="B145" s="313" t="s">
        <v>782</v>
      </c>
      <c r="C145" s="314"/>
      <c r="E145" s="315" t="s">
        <v>672</v>
      </c>
      <c r="F145" s="85" t="s">
        <v>672</v>
      </c>
      <c r="G145" s="85" t="s">
        <v>705</v>
      </c>
      <c r="H145" s="85" t="s">
        <v>706</v>
      </c>
      <c r="I145" t="str" cm="1">
        <f t="array" ref="I145">INDEX(E145:H145,1,chosen.data.speed)</f>
        <v>Unlimited</v>
      </c>
    </row>
    <row r="146" spans="2:9" hidden="1" outlineLevel="1">
      <c r="B146" s="313" t="s">
        <v>783</v>
      </c>
      <c r="C146" s="314"/>
      <c r="E146" s="315" t="s">
        <v>672</v>
      </c>
      <c r="F146" s="85" t="s">
        <v>672</v>
      </c>
      <c r="G146" s="85" t="s">
        <v>705</v>
      </c>
      <c r="H146" s="85" t="s">
        <v>706</v>
      </c>
      <c r="I146" t="str" cm="1">
        <f t="array" ref="I146">INDEX(E146:H146,1,chosen.data.speed)</f>
        <v>Unlimited</v>
      </c>
    </row>
    <row r="147" spans="2:9" hidden="1" outlineLevel="1">
      <c r="B147" s="313" t="s">
        <v>784</v>
      </c>
      <c r="C147" s="314"/>
      <c r="E147" s="315" t="s">
        <v>672</v>
      </c>
      <c r="F147" s="85" t="s">
        <v>672</v>
      </c>
      <c r="G147" s="85" t="s">
        <v>705</v>
      </c>
      <c r="H147" s="85" t="s">
        <v>706</v>
      </c>
      <c r="I147" t="str" cm="1">
        <f t="array" ref="I147">INDEX(E147:H147,1,chosen.data.speed)</f>
        <v>Unlimited</v>
      </c>
    </row>
    <row r="148" spans="2:9" hidden="1" outlineLevel="1">
      <c r="B148" s="313" t="s">
        <v>785</v>
      </c>
      <c r="C148" s="314"/>
      <c r="E148" s="315" t="s">
        <v>672</v>
      </c>
      <c r="F148" s="85" t="s">
        <v>672</v>
      </c>
      <c r="G148" s="85" t="s">
        <v>705</v>
      </c>
      <c r="H148" s="85" t="s">
        <v>706</v>
      </c>
      <c r="I148" t="str" cm="1">
        <f t="array" ref="I148">INDEX(E148:H148,1,chosen.data.speed)</f>
        <v>Unlimited</v>
      </c>
    </row>
    <row r="149" spans="2:9" hidden="1" outlineLevel="1">
      <c r="B149" s="313" t="s">
        <v>786</v>
      </c>
      <c r="C149" s="314"/>
      <c r="E149" s="315" t="s">
        <v>672</v>
      </c>
      <c r="F149" s="85" t="s">
        <v>672</v>
      </c>
      <c r="G149" s="85" t="s">
        <v>705</v>
      </c>
      <c r="H149" s="85" t="s">
        <v>706</v>
      </c>
      <c r="I149" t="str" cm="1">
        <f t="array" ref="I149">INDEX(E149:H149,1,chosen.data.speed)</f>
        <v>Unlimited</v>
      </c>
    </row>
    <row r="150" spans="2:9" hidden="1" outlineLevel="1">
      <c r="B150" s="313" t="s">
        <v>787</v>
      </c>
      <c r="C150" s="314"/>
      <c r="E150" s="315" t="s">
        <v>672</v>
      </c>
      <c r="F150" s="85" t="s">
        <v>672</v>
      </c>
      <c r="G150" s="85" t="s">
        <v>705</v>
      </c>
      <c r="H150" s="85" t="s">
        <v>706</v>
      </c>
      <c r="I150" t="str" cm="1">
        <f t="array" ref="I150">INDEX(E150:H150,1,chosen.data.speed)</f>
        <v>Unlimited</v>
      </c>
    </row>
    <row r="151" spans="2:9" hidden="1" outlineLevel="1">
      <c r="B151" s="313" t="s">
        <v>788</v>
      </c>
      <c r="C151" s="314"/>
      <c r="E151" s="315" t="s">
        <v>672</v>
      </c>
      <c r="F151" s="85" t="s">
        <v>672</v>
      </c>
      <c r="G151" s="85" t="s">
        <v>705</v>
      </c>
      <c r="H151" s="85" t="s">
        <v>706</v>
      </c>
      <c r="I151" t="str" cm="1">
        <f t="array" ref="I151">INDEX(E151:H151,1,chosen.data.speed)</f>
        <v>Unlimited</v>
      </c>
    </row>
    <row r="152" spans="2:9" hidden="1" outlineLevel="1">
      <c r="B152" s="313" t="s">
        <v>789</v>
      </c>
      <c r="C152" s="314"/>
      <c r="E152" s="315" t="s">
        <v>672</v>
      </c>
      <c r="F152" s="85" t="s">
        <v>672</v>
      </c>
      <c r="G152" s="85" t="s">
        <v>705</v>
      </c>
      <c r="H152" s="85" t="s">
        <v>706</v>
      </c>
      <c r="I152" t="str" cm="1">
        <f t="array" ref="I152">INDEX(E152:H152,1,chosen.data.speed)</f>
        <v>Unlimited</v>
      </c>
    </row>
    <row r="153" spans="2:9" hidden="1" outlineLevel="1">
      <c r="B153" s="313" t="s">
        <v>790</v>
      </c>
      <c r="C153" s="314"/>
      <c r="E153" s="315" t="s">
        <v>672</v>
      </c>
      <c r="F153" s="85" t="s">
        <v>672</v>
      </c>
      <c r="G153" s="85" t="s">
        <v>705</v>
      </c>
      <c r="H153" s="85" t="s">
        <v>706</v>
      </c>
      <c r="I153" t="str" cm="1">
        <f t="array" ref="I153">INDEX(E153:H153,1,chosen.data.speed)</f>
        <v>Unlimited</v>
      </c>
    </row>
    <row r="154" spans="2:9" hidden="1" outlineLevel="1">
      <c r="B154" s="313" t="s">
        <v>791</v>
      </c>
      <c r="C154" s="314"/>
      <c r="E154" s="315" t="s">
        <v>672</v>
      </c>
      <c r="F154" s="85" t="s">
        <v>672</v>
      </c>
      <c r="G154" s="85" t="s">
        <v>705</v>
      </c>
      <c r="H154" s="85" t="s">
        <v>706</v>
      </c>
      <c r="I154" t="str" cm="1">
        <f t="array" ref="I154">INDEX(E154:H154,1,chosen.data.speed)</f>
        <v>Unlimited</v>
      </c>
    </row>
    <row r="155" spans="2:9" hidden="1" outlineLevel="1">
      <c r="B155" s="313" t="s">
        <v>792</v>
      </c>
      <c r="C155" s="314"/>
      <c r="E155" s="315" t="s">
        <v>672</v>
      </c>
      <c r="F155" s="85" t="s">
        <v>672</v>
      </c>
      <c r="G155" s="85" t="s">
        <v>705</v>
      </c>
      <c r="H155" s="85" t="s">
        <v>706</v>
      </c>
      <c r="I155" t="str" cm="1">
        <f t="array" ref="I155">INDEX(E155:H155,1,chosen.data.speed)</f>
        <v>Unlimited</v>
      </c>
    </row>
    <row r="156" spans="2:9" hidden="1" outlineLevel="1">
      <c r="B156" s="313" t="s">
        <v>793</v>
      </c>
      <c r="C156" s="314"/>
      <c r="E156" s="315" t="s">
        <v>672</v>
      </c>
      <c r="F156" s="85" t="s">
        <v>672</v>
      </c>
      <c r="G156" s="85" t="s">
        <v>705</v>
      </c>
      <c r="H156" s="85" t="s">
        <v>706</v>
      </c>
      <c r="I156" t="str" cm="1">
        <f t="array" ref="I156">INDEX(E156:H156,1,chosen.data.speed)</f>
        <v>Unlimited</v>
      </c>
    </row>
    <row r="157" spans="2:9" hidden="1" outlineLevel="1">
      <c r="B157" s="313" t="s">
        <v>794</v>
      </c>
      <c r="C157" s="314"/>
      <c r="E157" s="315" t="s">
        <v>672</v>
      </c>
      <c r="F157" s="85" t="s">
        <v>672</v>
      </c>
      <c r="G157" s="85" t="s">
        <v>705</v>
      </c>
      <c r="H157" s="85" t="s">
        <v>706</v>
      </c>
      <c r="I157" t="str" cm="1">
        <f t="array" ref="I157">INDEX(E157:H157,1,chosen.data.speed)</f>
        <v>Unlimited</v>
      </c>
    </row>
    <row r="158" spans="2:9" hidden="1" outlineLevel="1">
      <c r="B158" s="313" t="s">
        <v>795</v>
      </c>
      <c r="C158" s="314"/>
      <c r="E158" s="315" t="s">
        <v>672</v>
      </c>
      <c r="F158" s="85" t="s">
        <v>672</v>
      </c>
      <c r="G158" s="85" t="s">
        <v>705</v>
      </c>
      <c r="H158" s="85" t="s">
        <v>706</v>
      </c>
      <c r="I158" t="str" cm="1">
        <f t="array" ref="I158">INDEX(E158:H158,1,chosen.data.speed)</f>
        <v>Unlimited</v>
      </c>
    </row>
    <row r="159" spans="2:9" hidden="1" outlineLevel="1">
      <c r="B159" s="313" t="s">
        <v>796</v>
      </c>
      <c r="C159" s="314"/>
      <c r="E159" s="315" t="s">
        <v>672</v>
      </c>
      <c r="F159" s="85" t="s">
        <v>672</v>
      </c>
      <c r="G159" s="85" t="s">
        <v>705</v>
      </c>
      <c r="H159" s="85" t="s">
        <v>706</v>
      </c>
      <c r="I159" t="str" cm="1">
        <f t="array" ref="I159">INDEX(E159:H159,1,chosen.data.speed)</f>
        <v>Unlimited</v>
      </c>
    </row>
    <row r="160" spans="2:9" hidden="1" outlineLevel="1">
      <c r="B160" s="313" t="s">
        <v>797</v>
      </c>
      <c r="C160" s="314"/>
      <c r="E160" s="315" t="s">
        <v>672</v>
      </c>
      <c r="F160" s="85" t="s">
        <v>672</v>
      </c>
      <c r="G160" s="85" t="s">
        <v>705</v>
      </c>
      <c r="H160" s="85" t="s">
        <v>706</v>
      </c>
      <c r="I160" t="str" cm="1">
        <f t="array" ref="I160">INDEX(E160:H160,1,chosen.data.speed)</f>
        <v>Unlimited</v>
      </c>
    </row>
    <row r="161" spans="2:9" hidden="1" outlineLevel="1">
      <c r="B161" s="313" t="s">
        <v>798</v>
      </c>
      <c r="C161" s="314"/>
      <c r="E161" s="315" t="s">
        <v>672</v>
      </c>
      <c r="F161" s="85" t="s">
        <v>672</v>
      </c>
      <c r="G161" s="85" t="s">
        <v>705</v>
      </c>
      <c r="H161" s="85" t="s">
        <v>706</v>
      </c>
      <c r="I161" t="str" cm="1">
        <f t="array" ref="I161">INDEX(E161:H161,1,chosen.data.speed)</f>
        <v>Unlimited</v>
      </c>
    </row>
    <row r="162" spans="2:9" hidden="1" outlineLevel="1">
      <c r="B162" s="313" t="s">
        <v>799</v>
      </c>
      <c r="C162" s="314"/>
      <c r="E162" s="315" t="s">
        <v>672</v>
      </c>
      <c r="F162" s="85" t="s">
        <v>672</v>
      </c>
      <c r="G162" s="85" t="s">
        <v>705</v>
      </c>
      <c r="H162" s="85" t="s">
        <v>706</v>
      </c>
      <c r="I162" t="str" cm="1">
        <f t="array" ref="I162">INDEX(E162:H162,1,chosen.data.speed)</f>
        <v>Unlimited</v>
      </c>
    </row>
    <row r="163" spans="2:9" hidden="1" outlineLevel="1">
      <c r="B163" s="313" t="s">
        <v>800</v>
      </c>
      <c r="C163" s="314"/>
      <c r="E163" s="315" t="s">
        <v>672</v>
      </c>
      <c r="F163" s="85" t="s">
        <v>672</v>
      </c>
      <c r="G163" s="85" t="s">
        <v>705</v>
      </c>
      <c r="H163" s="85" t="s">
        <v>706</v>
      </c>
      <c r="I163" t="str" cm="1">
        <f t="array" ref="I163">INDEX(E163:H163,1,chosen.data.speed)</f>
        <v>Unlimited</v>
      </c>
    </row>
    <row r="164" spans="2:9" hidden="1" outlineLevel="1">
      <c r="B164" s="313" t="s">
        <v>801</v>
      </c>
      <c r="C164" s="314"/>
      <c r="E164" s="315" t="s">
        <v>672</v>
      </c>
      <c r="F164" s="85" t="s">
        <v>672</v>
      </c>
      <c r="G164" s="85" t="s">
        <v>705</v>
      </c>
      <c r="H164" s="85" t="s">
        <v>706</v>
      </c>
      <c r="I164" t="str" cm="1">
        <f t="array" ref="I164">INDEX(E164:H164,1,chosen.data.speed)</f>
        <v>Unlimited</v>
      </c>
    </row>
    <row r="165" spans="2:9" hidden="1" outlineLevel="1">
      <c r="B165" s="313" t="s">
        <v>802</v>
      </c>
      <c r="C165" s="314"/>
      <c r="E165" s="315" t="s">
        <v>672</v>
      </c>
      <c r="F165" s="85" t="s">
        <v>672</v>
      </c>
      <c r="G165" s="85" t="s">
        <v>705</v>
      </c>
      <c r="H165" s="85" t="s">
        <v>706</v>
      </c>
      <c r="I165" t="str" cm="1">
        <f t="array" ref="I165">INDEX(E165:H165,1,chosen.data.speed)</f>
        <v>Unlimited</v>
      </c>
    </row>
    <row r="166" spans="2:9" collapsed="1">
      <c r="B166" s="313" t="s">
        <v>803</v>
      </c>
      <c r="C166" s="314"/>
      <c r="E166" s="315" t="s">
        <v>672</v>
      </c>
      <c r="F166" s="85" t="s">
        <v>672</v>
      </c>
      <c r="G166" s="85" t="s">
        <v>705</v>
      </c>
      <c r="H166" s="85" t="s">
        <v>706</v>
      </c>
      <c r="I166" t="str" cm="1">
        <f t="array" ref="I166">INDEX(E166:H166,1,chosen.data.speed)</f>
        <v>Unlimited</v>
      </c>
    </row>
    <row r="167" spans="2:9" ht="12">
      <c r="B167" s="43" t="s">
        <v>143</v>
      </c>
      <c r="C167" s="43" t="s">
        <v>253</v>
      </c>
      <c r="I167" s="43" t="s">
        <v>683</v>
      </c>
    </row>
    <row r="169" spans="2:9">
      <c r="B169" s="66" t="s">
        <v>560</v>
      </c>
      <c r="C169" s="66"/>
    </row>
    <row r="170" spans="2:9">
      <c r="B170" s="1" t="s">
        <v>309</v>
      </c>
      <c r="C170" s="1" t="s">
        <v>594</v>
      </c>
      <c r="E170" s="1" t="str">
        <f t="array" ref="E170:H170">TRANSPOSE(list.data.speed.choices)</f>
        <v>As provided by Telenor</v>
      </c>
      <c r="F170" s="1" t="str">
        <v>All Unlimited</v>
      </c>
      <c r="G170" s="1" t="str">
        <v>All 150Mbit/s</v>
      </c>
      <c r="H170" s="1" t="str">
        <v>All 15Mbit/s</v>
      </c>
    </row>
    <row r="171" spans="2:9">
      <c r="B171" s="92" t="s">
        <v>808</v>
      </c>
      <c r="C171" s="103"/>
      <c r="E171" s="315" t="s">
        <v>672</v>
      </c>
      <c r="F171" s="85" t="s">
        <v>672</v>
      </c>
      <c r="G171" s="85" t="s">
        <v>705</v>
      </c>
      <c r="H171" s="85" t="s">
        <v>706</v>
      </c>
      <c r="I171" t="str" cm="1">
        <f t="array" ref="I171">INDEX(E171:H171,1,chosen.data.speed)</f>
        <v>Unlimited</v>
      </c>
    </row>
    <row r="172" spans="2:9" hidden="1" outlineLevel="1">
      <c r="B172" s="92" t="s">
        <v>809</v>
      </c>
      <c r="C172" s="103"/>
      <c r="E172" s="315" t="s">
        <v>672</v>
      </c>
      <c r="F172" s="85" t="s">
        <v>672</v>
      </c>
      <c r="G172" s="85" t="s">
        <v>705</v>
      </c>
      <c r="H172" s="85" t="s">
        <v>706</v>
      </c>
      <c r="I172" t="str" cm="1">
        <f t="array" ref="I172">INDEX(E172:H172,1,chosen.data.speed)</f>
        <v>Unlimited</v>
      </c>
    </row>
    <row r="173" spans="2:9" hidden="1" outlineLevel="1">
      <c r="B173" s="92" t="s">
        <v>810</v>
      </c>
      <c r="C173" s="103"/>
      <c r="E173" s="315" t="s">
        <v>672</v>
      </c>
      <c r="F173" s="85" t="s">
        <v>672</v>
      </c>
      <c r="G173" s="85" t="s">
        <v>705</v>
      </c>
      <c r="H173" s="85" t="s">
        <v>706</v>
      </c>
      <c r="I173" t="str" cm="1">
        <f t="array" ref="I173">INDEX(E173:H173,1,chosen.data.speed)</f>
        <v>Unlimited</v>
      </c>
    </row>
    <row r="174" spans="2:9" hidden="1" outlineLevel="1">
      <c r="B174" s="92" t="s">
        <v>811</v>
      </c>
      <c r="C174" s="103"/>
      <c r="E174" s="315" t="s">
        <v>672</v>
      </c>
      <c r="F174" s="85" t="s">
        <v>672</v>
      </c>
      <c r="G174" s="85" t="s">
        <v>705</v>
      </c>
      <c r="H174" s="85" t="s">
        <v>706</v>
      </c>
      <c r="I174" t="str" cm="1">
        <f t="array" ref="I174">INDEX(E174:H174,1,chosen.data.speed)</f>
        <v>Unlimited</v>
      </c>
    </row>
    <row r="175" spans="2:9" hidden="1" outlineLevel="1">
      <c r="B175" s="92" t="s">
        <v>812</v>
      </c>
      <c r="C175" s="103"/>
      <c r="E175" s="315" t="s">
        <v>672</v>
      </c>
      <c r="F175" s="85" t="s">
        <v>672</v>
      </c>
      <c r="G175" s="85" t="s">
        <v>705</v>
      </c>
      <c r="H175" s="85" t="s">
        <v>706</v>
      </c>
      <c r="I175" t="str" cm="1">
        <f t="array" ref="I175">INDEX(E175:H175,1,chosen.data.speed)</f>
        <v>Unlimited</v>
      </c>
    </row>
    <row r="176" spans="2:9" hidden="1" outlineLevel="1">
      <c r="B176" s="92" t="s">
        <v>813</v>
      </c>
      <c r="C176" s="103"/>
      <c r="E176" s="315" t="s">
        <v>672</v>
      </c>
      <c r="F176" s="85" t="s">
        <v>672</v>
      </c>
      <c r="G176" s="85" t="s">
        <v>705</v>
      </c>
      <c r="H176" s="85" t="s">
        <v>706</v>
      </c>
      <c r="I176" t="str" cm="1">
        <f t="array" ref="I176">INDEX(E176:H176,1,chosen.data.speed)</f>
        <v>Unlimited</v>
      </c>
    </row>
    <row r="177" spans="2:9" hidden="1" outlineLevel="1">
      <c r="B177" s="92" t="s">
        <v>814</v>
      </c>
      <c r="C177" s="103"/>
      <c r="E177" s="315" t="s">
        <v>672</v>
      </c>
      <c r="F177" s="85" t="s">
        <v>672</v>
      </c>
      <c r="G177" s="85" t="s">
        <v>705</v>
      </c>
      <c r="H177" s="85" t="s">
        <v>706</v>
      </c>
      <c r="I177" t="str" cm="1">
        <f t="array" ref="I177">INDEX(E177:H177,1,chosen.data.speed)</f>
        <v>Unlimited</v>
      </c>
    </row>
    <row r="178" spans="2:9" hidden="1" outlineLevel="1">
      <c r="B178" s="92" t="s">
        <v>815</v>
      </c>
      <c r="C178" s="103"/>
      <c r="E178" s="315" t="s">
        <v>672</v>
      </c>
      <c r="F178" s="85" t="s">
        <v>672</v>
      </c>
      <c r="G178" s="85" t="s">
        <v>705</v>
      </c>
      <c r="H178" s="85" t="s">
        <v>706</v>
      </c>
      <c r="I178" t="str" cm="1">
        <f t="array" ref="I178">INDEX(E178:H178,1,chosen.data.speed)</f>
        <v>Unlimited</v>
      </c>
    </row>
    <row r="179" spans="2:9" hidden="1" outlineLevel="1">
      <c r="B179" s="92" t="s">
        <v>816</v>
      </c>
      <c r="C179" s="103"/>
      <c r="E179" s="315" t="s">
        <v>672</v>
      </c>
      <c r="F179" s="85" t="s">
        <v>672</v>
      </c>
      <c r="G179" s="85" t="s">
        <v>705</v>
      </c>
      <c r="H179" s="85" t="s">
        <v>706</v>
      </c>
      <c r="I179" t="str" cm="1">
        <f t="array" ref="I179">INDEX(E179:H179,1,chosen.data.speed)</f>
        <v>Unlimited</v>
      </c>
    </row>
    <row r="180" spans="2:9" hidden="1" outlineLevel="1">
      <c r="B180" s="92" t="s">
        <v>817</v>
      </c>
      <c r="C180" s="103"/>
      <c r="E180" s="315" t="s">
        <v>672</v>
      </c>
      <c r="F180" s="85" t="s">
        <v>672</v>
      </c>
      <c r="G180" s="85" t="s">
        <v>705</v>
      </c>
      <c r="H180" s="85" t="s">
        <v>706</v>
      </c>
      <c r="I180" t="str" cm="1">
        <f t="array" ref="I180">INDEX(E180:H180,1,chosen.data.speed)</f>
        <v>Unlimited</v>
      </c>
    </row>
    <row r="181" spans="2:9" hidden="1" outlineLevel="1">
      <c r="B181" s="92" t="s">
        <v>818</v>
      </c>
      <c r="C181" s="103"/>
      <c r="E181" s="315" t="s">
        <v>672</v>
      </c>
      <c r="F181" s="85" t="s">
        <v>672</v>
      </c>
      <c r="G181" s="85" t="s">
        <v>705</v>
      </c>
      <c r="H181" s="85" t="s">
        <v>706</v>
      </c>
      <c r="I181" t="str" cm="1">
        <f t="array" ref="I181">INDEX(E181:H181,1,chosen.data.speed)</f>
        <v>Unlimited</v>
      </c>
    </row>
    <row r="182" spans="2:9" hidden="1" outlineLevel="1">
      <c r="B182" s="92" t="s">
        <v>819</v>
      </c>
      <c r="C182" s="103"/>
      <c r="E182" s="315" t="s">
        <v>672</v>
      </c>
      <c r="F182" s="85" t="s">
        <v>672</v>
      </c>
      <c r="G182" s="85" t="s">
        <v>705</v>
      </c>
      <c r="H182" s="85" t="s">
        <v>706</v>
      </c>
      <c r="I182" t="str" cm="1">
        <f t="array" ref="I182">INDEX(E182:H182,1,chosen.data.speed)</f>
        <v>Unlimited</v>
      </c>
    </row>
    <row r="183" spans="2:9" hidden="1" outlineLevel="1">
      <c r="B183" s="92" t="s">
        <v>820</v>
      </c>
      <c r="C183" s="103"/>
      <c r="E183" s="315" t="s">
        <v>672</v>
      </c>
      <c r="F183" s="85" t="s">
        <v>672</v>
      </c>
      <c r="G183" s="85" t="s">
        <v>705</v>
      </c>
      <c r="H183" s="85" t="s">
        <v>706</v>
      </c>
      <c r="I183" t="str" cm="1">
        <f t="array" ref="I183">INDEX(E183:H183,1,chosen.data.speed)</f>
        <v>Unlimited</v>
      </c>
    </row>
    <row r="184" spans="2:9" hidden="1" outlineLevel="1">
      <c r="B184" s="92" t="s">
        <v>821</v>
      </c>
      <c r="C184" s="103"/>
      <c r="E184" s="315" t="s">
        <v>672</v>
      </c>
      <c r="F184" s="85" t="s">
        <v>672</v>
      </c>
      <c r="G184" s="85" t="s">
        <v>705</v>
      </c>
      <c r="H184" s="85" t="s">
        <v>706</v>
      </c>
      <c r="I184" t="str" cm="1">
        <f t="array" ref="I184">INDEX(E184:H184,1,chosen.data.speed)</f>
        <v>Unlimited</v>
      </c>
    </row>
    <row r="185" spans="2:9" hidden="1" outlineLevel="1">
      <c r="B185" s="92" t="s">
        <v>822</v>
      </c>
      <c r="C185" s="103"/>
      <c r="E185" s="315" t="s">
        <v>672</v>
      </c>
      <c r="F185" s="85" t="s">
        <v>672</v>
      </c>
      <c r="G185" s="85" t="s">
        <v>705</v>
      </c>
      <c r="H185" s="85" t="s">
        <v>706</v>
      </c>
      <c r="I185" t="str" cm="1">
        <f t="array" ref="I185">INDEX(E185:H185,1,chosen.data.speed)</f>
        <v>Unlimited</v>
      </c>
    </row>
    <row r="186" spans="2:9" hidden="1" outlineLevel="1">
      <c r="B186" s="92" t="s">
        <v>823</v>
      </c>
      <c r="C186" s="103"/>
      <c r="E186" s="315" t="s">
        <v>672</v>
      </c>
      <c r="F186" s="85" t="s">
        <v>672</v>
      </c>
      <c r="G186" s="85" t="s">
        <v>705</v>
      </c>
      <c r="H186" s="85" t="s">
        <v>706</v>
      </c>
      <c r="I186" t="str" cm="1">
        <f t="array" ref="I186">INDEX(E186:H186,1,chosen.data.speed)</f>
        <v>Unlimited</v>
      </c>
    </row>
    <row r="187" spans="2:9" hidden="1" outlineLevel="1">
      <c r="B187" s="92" t="s">
        <v>824</v>
      </c>
      <c r="C187" s="103"/>
      <c r="E187" s="315" t="s">
        <v>672</v>
      </c>
      <c r="F187" s="85" t="s">
        <v>672</v>
      </c>
      <c r="G187" s="85" t="s">
        <v>705</v>
      </c>
      <c r="H187" s="85" t="s">
        <v>706</v>
      </c>
      <c r="I187" t="str" cm="1">
        <f t="array" ref="I187">INDEX(E187:H187,1,chosen.data.speed)</f>
        <v>Unlimited</v>
      </c>
    </row>
    <row r="188" spans="2:9" hidden="1" outlineLevel="1">
      <c r="B188" s="92" t="s">
        <v>825</v>
      </c>
      <c r="C188" s="103"/>
      <c r="E188" s="315" t="s">
        <v>672</v>
      </c>
      <c r="F188" s="85" t="s">
        <v>672</v>
      </c>
      <c r="G188" s="85" t="s">
        <v>705</v>
      </c>
      <c r="H188" s="85" t="s">
        <v>706</v>
      </c>
      <c r="I188" t="str" cm="1">
        <f t="array" ref="I188">INDEX(E188:H188,1,chosen.data.speed)</f>
        <v>Unlimited</v>
      </c>
    </row>
    <row r="189" spans="2:9" hidden="1" outlineLevel="1">
      <c r="B189" s="92" t="s">
        <v>826</v>
      </c>
      <c r="C189" s="103"/>
      <c r="E189" s="315" t="s">
        <v>672</v>
      </c>
      <c r="F189" s="85" t="s">
        <v>672</v>
      </c>
      <c r="G189" s="85" t="s">
        <v>705</v>
      </c>
      <c r="H189" s="85" t="s">
        <v>706</v>
      </c>
      <c r="I189" t="str" cm="1">
        <f t="array" ref="I189">INDEX(E189:H189,1,chosen.data.speed)</f>
        <v>Unlimited</v>
      </c>
    </row>
    <row r="190" spans="2:9" hidden="1" outlineLevel="1">
      <c r="B190" s="92" t="s">
        <v>827</v>
      </c>
      <c r="C190" s="103"/>
      <c r="E190" s="315" t="s">
        <v>672</v>
      </c>
      <c r="F190" s="85" t="s">
        <v>672</v>
      </c>
      <c r="G190" s="85" t="s">
        <v>705</v>
      </c>
      <c r="H190" s="85" t="s">
        <v>706</v>
      </c>
      <c r="I190" t="str" cm="1">
        <f t="array" ref="I190">INDEX(E190:H190,1,chosen.data.speed)</f>
        <v>Unlimited</v>
      </c>
    </row>
    <row r="191" spans="2:9" hidden="1" outlineLevel="1">
      <c r="B191" s="92" t="s">
        <v>828</v>
      </c>
      <c r="C191" s="103"/>
      <c r="E191" s="315" t="s">
        <v>672</v>
      </c>
      <c r="F191" s="85" t="s">
        <v>672</v>
      </c>
      <c r="G191" s="85" t="s">
        <v>705</v>
      </c>
      <c r="H191" s="85" t="s">
        <v>706</v>
      </c>
      <c r="I191" t="str" cm="1">
        <f t="array" ref="I191">INDEX(E191:H191,1,chosen.data.speed)</f>
        <v>Unlimited</v>
      </c>
    </row>
    <row r="192" spans="2:9" hidden="1" outlineLevel="1">
      <c r="B192" s="92" t="s">
        <v>829</v>
      </c>
      <c r="C192" s="103"/>
      <c r="E192" s="315" t="s">
        <v>672</v>
      </c>
      <c r="F192" s="85" t="s">
        <v>672</v>
      </c>
      <c r="G192" s="85" t="s">
        <v>705</v>
      </c>
      <c r="H192" s="85" t="s">
        <v>706</v>
      </c>
      <c r="I192" t="str" cm="1">
        <f t="array" ref="I192">INDEX(E192:H192,1,chosen.data.speed)</f>
        <v>Unlimited</v>
      </c>
    </row>
    <row r="193" spans="2:9" hidden="1" outlineLevel="1">
      <c r="B193" s="92" t="s">
        <v>830</v>
      </c>
      <c r="C193" s="103"/>
      <c r="E193" s="315" t="s">
        <v>672</v>
      </c>
      <c r="F193" s="85" t="s">
        <v>672</v>
      </c>
      <c r="G193" s="85" t="s">
        <v>705</v>
      </c>
      <c r="H193" s="85" t="s">
        <v>706</v>
      </c>
      <c r="I193" t="str" cm="1">
        <f t="array" ref="I193">INDEX(E193:H193,1,chosen.data.speed)</f>
        <v>Unlimited</v>
      </c>
    </row>
    <row r="194" spans="2:9" hidden="1" outlineLevel="1">
      <c r="B194" s="92" t="s">
        <v>831</v>
      </c>
      <c r="C194" s="103"/>
      <c r="E194" s="315" t="s">
        <v>672</v>
      </c>
      <c r="F194" s="85" t="s">
        <v>672</v>
      </c>
      <c r="G194" s="85" t="s">
        <v>705</v>
      </c>
      <c r="H194" s="85" t="s">
        <v>706</v>
      </c>
      <c r="I194" t="str" cm="1">
        <f t="array" ref="I194">INDEX(E194:H194,1,chosen.data.speed)</f>
        <v>Unlimited</v>
      </c>
    </row>
    <row r="195" spans="2:9" hidden="1" outlineLevel="1">
      <c r="B195" s="92" t="s">
        <v>832</v>
      </c>
      <c r="C195" s="103"/>
      <c r="E195" s="315" t="s">
        <v>672</v>
      </c>
      <c r="F195" s="85" t="s">
        <v>672</v>
      </c>
      <c r="G195" s="85" t="s">
        <v>705</v>
      </c>
      <c r="H195" s="85" t="s">
        <v>706</v>
      </c>
      <c r="I195" t="str" cm="1">
        <f t="array" ref="I195">INDEX(E195:H195,1,chosen.data.speed)</f>
        <v>Unlimited</v>
      </c>
    </row>
    <row r="196" spans="2:9" hidden="1" outlineLevel="1">
      <c r="B196" s="92" t="s">
        <v>833</v>
      </c>
      <c r="C196" s="103"/>
      <c r="E196" s="315" t="s">
        <v>672</v>
      </c>
      <c r="F196" s="85" t="s">
        <v>672</v>
      </c>
      <c r="G196" s="85" t="s">
        <v>705</v>
      </c>
      <c r="H196" s="85" t="s">
        <v>706</v>
      </c>
      <c r="I196" t="str" cm="1">
        <f t="array" ref="I196">INDEX(E196:H196,1,chosen.data.speed)</f>
        <v>Unlimited</v>
      </c>
    </row>
    <row r="197" spans="2:9" hidden="1" outlineLevel="1">
      <c r="B197" s="92" t="s">
        <v>834</v>
      </c>
      <c r="C197" s="103"/>
      <c r="E197" s="315" t="s">
        <v>672</v>
      </c>
      <c r="F197" s="85" t="s">
        <v>672</v>
      </c>
      <c r="G197" s="85" t="s">
        <v>705</v>
      </c>
      <c r="H197" s="85" t="s">
        <v>706</v>
      </c>
      <c r="I197" t="str" cm="1">
        <f t="array" ref="I197">INDEX(E197:H197,1,chosen.data.speed)</f>
        <v>Unlimited</v>
      </c>
    </row>
    <row r="198" spans="2:9" hidden="1" outlineLevel="1">
      <c r="B198" s="92" t="s">
        <v>835</v>
      </c>
      <c r="C198" s="103"/>
      <c r="E198" s="315" t="s">
        <v>672</v>
      </c>
      <c r="F198" s="85" t="s">
        <v>672</v>
      </c>
      <c r="G198" s="85" t="s">
        <v>705</v>
      </c>
      <c r="H198" s="85" t="s">
        <v>706</v>
      </c>
      <c r="I198" t="str" cm="1">
        <f t="array" ref="I198">INDEX(E198:H198,1,chosen.data.speed)</f>
        <v>Unlimited</v>
      </c>
    </row>
    <row r="199" spans="2:9" hidden="1" outlineLevel="1">
      <c r="B199" s="92" t="s">
        <v>836</v>
      </c>
      <c r="C199" s="103"/>
      <c r="E199" s="315" t="s">
        <v>672</v>
      </c>
      <c r="F199" s="85" t="s">
        <v>672</v>
      </c>
      <c r="G199" s="85" t="s">
        <v>705</v>
      </c>
      <c r="H199" s="85" t="s">
        <v>706</v>
      </c>
      <c r="I199" t="str" cm="1">
        <f t="array" ref="I199">INDEX(E199:H199,1,chosen.data.speed)</f>
        <v>Unlimited</v>
      </c>
    </row>
    <row r="200" spans="2:9" hidden="1" outlineLevel="1">
      <c r="B200" s="92" t="s">
        <v>837</v>
      </c>
      <c r="C200" s="103"/>
      <c r="E200" s="315" t="s">
        <v>672</v>
      </c>
      <c r="F200" s="85" t="s">
        <v>672</v>
      </c>
      <c r="G200" s="85" t="s">
        <v>705</v>
      </c>
      <c r="H200" s="85" t="s">
        <v>706</v>
      </c>
      <c r="I200" t="str" cm="1">
        <f t="array" ref="I200">INDEX(E200:H200,1,chosen.data.speed)</f>
        <v>Unlimited</v>
      </c>
    </row>
    <row r="201" spans="2:9" hidden="1" outlineLevel="1">
      <c r="B201" s="92" t="s">
        <v>838</v>
      </c>
      <c r="C201" s="103"/>
      <c r="E201" s="315" t="s">
        <v>672</v>
      </c>
      <c r="F201" s="85" t="s">
        <v>672</v>
      </c>
      <c r="G201" s="85" t="s">
        <v>705</v>
      </c>
      <c r="H201" s="85" t="s">
        <v>706</v>
      </c>
      <c r="I201" t="str" cm="1">
        <f t="array" ref="I201">INDEX(E201:H201,1,chosen.data.speed)</f>
        <v>Unlimited</v>
      </c>
    </row>
    <row r="202" spans="2:9" hidden="1" outlineLevel="1">
      <c r="B202" s="92" t="s">
        <v>839</v>
      </c>
      <c r="C202" s="103"/>
      <c r="E202" s="315" t="s">
        <v>672</v>
      </c>
      <c r="F202" s="85" t="s">
        <v>672</v>
      </c>
      <c r="G202" s="85" t="s">
        <v>705</v>
      </c>
      <c r="H202" s="85" t="s">
        <v>706</v>
      </c>
      <c r="I202" t="str" cm="1">
        <f t="array" ref="I202">INDEX(E202:H202,1,chosen.data.speed)</f>
        <v>Unlimited</v>
      </c>
    </row>
    <row r="203" spans="2:9" hidden="1" outlineLevel="1">
      <c r="B203" s="92" t="s">
        <v>840</v>
      </c>
      <c r="C203" s="103"/>
      <c r="E203" s="315" t="s">
        <v>672</v>
      </c>
      <c r="F203" s="85" t="s">
        <v>672</v>
      </c>
      <c r="G203" s="85" t="s">
        <v>705</v>
      </c>
      <c r="H203" s="85" t="s">
        <v>706</v>
      </c>
      <c r="I203" t="str" cm="1">
        <f t="array" ref="I203">INDEX(E203:H203,1,chosen.data.speed)</f>
        <v>Unlimited</v>
      </c>
    </row>
    <row r="204" spans="2:9" hidden="1" outlineLevel="1">
      <c r="B204" s="92" t="s">
        <v>841</v>
      </c>
      <c r="C204" s="103"/>
      <c r="E204" s="315" t="s">
        <v>672</v>
      </c>
      <c r="F204" s="85" t="s">
        <v>672</v>
      </c>
      <c r="G204" s="85" t="s">
        <v>705</v>
      </c>
      <c r="H204" s="85" t="s">
        <v>706</v>
      </c>
      <c r="I204" t="str" cm="1">
        <f t="array" ref="I204">INDEX(E204:H204,1,chosen.data.speed)</f>
        <v>Unlimited</v>
      </c>
    </row>
    <row r="205" spans="2:9" collapsed="1">
      <c r="B205" s="92" t="s">
        <v>842</v>
      </c>
      <c r="C205" s="103"/>
      <c r="E205" s="315" t="s">
        <v>672</v>
      </c>
      <c r="F205" s="85" t="s">
        <v>672</v>
      </c>
      <c r="G205" s="85" t="s">
        <v>705</v>
      </c>
      <c r="H205" s="85" t="s">
        <v>706</v>
      </c>
      <c r="I205" t="str" cm="1">
        <f t="array" ref="I205">INDEX(E205:H205,1,chosen.data.speed)</f>
        <v>Unlimited</v>
      </c>
    </row>
    <row r="206" spans="2:9" ht="12">
      <c r="B206" s="43" t="s">
        <v>144</v>
      </c>
      <c r="C206" s="43" t="s">
        <v>254</v>
      </c>
      <c r="I206" s="43" t="s">
        <v>684</v>
      </c>
    </row>
    <row r="208" spans="2:9">
      <c r="B208" s="66" t="s">
        <v>561</v>
      </c>
      <c r="C208" s="66"/>
    </row>
    <row r="209" spans="2:9">
      <c r="B209" s="1" t="s">
        <v>309</v>
      </c>
      <c r="C209" s="1" t="s">
        <v>594</v>
      </c>
      <c r="E209" s="1" t="str">
        <f t="array" ref="E209:H209">TRANSPOSE(list.data.speed.choices)</f>
        <v>As provided by Telenor</v>
      </c>
      <c r="F209" s="1" t="str">
        <v>All Unlimited</v>
      </c>
      <c r="G209" s="1" t="str">
        <v>All 150Mbit/s</v>
      </c>
      <c r="H209" s="1" t="str">
        <v>All 15Mbit/s</v>
      </c>
    </row>
    <row r="210" spans="2:9">
      <c r="B210" s="92" t="s">
        <v>843</v>
      </c>
      <c r="C210" s="103"/>
      <c r="E210" s="315" t="s">
        <v>672</v>
      </c>
      <c r="F210" s="85" t="s">
        <v>672</v>
      </c>
      <c r="G210" s="85" t="s">
        <v>705</v>
      </c>
      <c r="H210" s="85" t="s">
        <v>706</v>
      </c>
      <c r="I210" t="str" cm="1">
        <f t="array" ref="I210">INDEX(E210:H210,1,chosen.data.speed)</f>
        <v>Unlimited</v>
      </c>
    </row>
    <row r="211" spans="2:9" hidden="1" outlineLevel="1">
      <c r="B211" s="92" t="s">
        <v>844</v>
      </c>
      <c r="C211" s="103"/>
      <c r="E211" s="315" t="s">
        <v>672</v>
      </c>
      <c r="F211" s="85" t="s">
        <v>672</v>
      </c>
      <c r="G211" s="85" t="s">
        <v>705</v>
      </c>
      <c r="H211" s="85" t="s">
        <v>706</v>
      </c>
      <c r="I211" t="str" cm="1">
        <f t="array" ref="I211">INDEX(E211:H211,1,chosen.data.speed)</f>
        <v>Unlimited</v>
      </c>
    </row>
    <row r="212" spans="2:9" hidden="1" outlineLevel="1">
      <c r="B212" s="92" t="s">
        <v>845</v>
      </c>
      <c r="C212" s="103"/>
      <c r="E212" s="315" t="s">
        <v>672</v>
      </c>
      <c r="F212" s="85" t="s">
        <v>672</v>
      </c>
      <c r="G212" s="85" t="s">
        <v>705</v>
      </c>
      <c r="H212" s="85" t="s">
        <v>706</v>
      </c>
      <c r="I212" t="str" cm="1">
        <f t="array" ref="I212">INDEX(E212:H212,1,chosen.data.speed)</f>
        <v>Unlimited</v>
      </c>
    </row>
    <row r="213" spans="2:9" hidden="1" outlineLevel="1">
      <c r="B213" s="92" t="s">
        <v>846</v>
      </c>
      <c r="C213" s="103"/>
      <c r="E213" s="315" t="s">
        <v>672</v>
      </c>
      <c r="F213" s="85" t="s">
        <v>672</v>
      </c>
      <c r="G213" s="85" t="s">
        <v>705</v>
      </c>
      <c r="H213" s="85" t="s">
        <v>706</v>
      </c>
      <c r="I213" t="str" cm="1">
        <f t="array" ref="I213">INDEX(E213:H213,1,chosen.data.speed)</f>
        <v>Unlimited</v>
      </c>
    </row>
    <row r="214" spans="2:9" hidden="1" outlineLevel="1">
      <c r="B214" s="92" t="s">
        <v>847</v>
      </c>
      <c r="C214" s="103"/>
      <c r="E214" s="315" t="s">
        <v>672</v>
      </c>
      <c r="F214" s="85" t="s">
        <v>672</v>
      </c>
      <c r="G214" s="85" t="s">
        <v>705</v>
      </c>
      <c r="H214" s="85" t="s">
        <v>706</v>
      </c>
      <c r="I214" t="str" cm="1">
        <f t="array" ref="I214">INDEX(E214:H214,1,chosen.data.speed)</f>
        <v>Unlimited</v>
      </c>
    </row>
    <row r="215" spans="2:9" hidden="1" outlineLevel="1">
      <c r="B215" s="92" t="s">
        <v>848</v>
      </c>
      <c r="C215" s="103"/>
      <c r="E215" s="315" t="s">
        <v>672</v>
      </c>
      <c r="F215" s="85" t="s">
        <v>672</v>
      </c>
      <c r="G215" s="85" t="s">
        <v>705</v>
      </c>
      <c r="H215" s="85" t="s">
        <v>706</v>
      </c>
      <c r="I215" t="str" cm="1">
        <f t="array" ref="I215">INDEX(E215:H215,1,chosen.data.speed)</f>
        <v>Unlimited</v>
      </c>
    </row>
    <row r="216" spans="2:9" hidden="1" outlineLevel="1">
      <c r="B216" s="92" t="s">
        <v>849</v>
      </c>
      <c r="C216" s="103"/>
      <c r="E216" s="315" t="s">
        <v>672</v>
      </c>
      <c r="F216" s="85" t="s">
        <v>672</v>
      </c>
      <c r="G216" s="85" t="s">
        <v>705</v>
      </c>
      <c r="H216" s="85" t="s">
        <v>706</v>
      </c>
      <c r="I216" t="str" cm="1">
        <f t="array" ref="I216">INDEX(E216:H216,1,chosen.data.speed)</f>
        <v>Unlimited</v>
      </c>
    </row>
    <row r="217" spans="2:9" hidden="1" outlineLevel="1">
      <c r="B217" s="92" t="s">
        <v>850</v>
      </c>
      <c r="C217" s="103"/>
      <c r="E217" s="315" t="s">
        <v>672</v>
      </c>
      <c r="F217" s="85" t="s">
        <v>672</v>
      </c>
      <c r="G217" s="85" t="s">
        <v>705</v>
      </c>
      <c r="H217" s="85" t="s">
        <v>706</v>
      </c>
      <c r="I217" t="str" cm="1">
        <f t="array" ref="I217">INDEX(E217:H217,1,chosen.data.speed)</f>
        <v>Unlimited</v>
      </c>
    </row>
    <row r="218" spans="2:9" hidden="1" outlineLevel="1">
      <c r="B218" s="92" t="s">
        <v>851</v>
      </c>
      <c r="C218" s="103"/>
      <c r="E218" s="315" t="s">
        <v>672</v>
      </c>
      <c r="F218" s="85" t="s">
        <v>672</v>
      </c>
      <c r="G218" s="85" t="s">
        <v>705</v>
      </c>
      <c r="H218" s="85" t="s">
        <v>706</v>
      </c>
      <c r="I218" t="str" cm="1">
        <f t="array" ref="I218">INDEX(E218:H218,1,chosen.data.speed)</f>
        <v>Unlimited</v>
      </c>
    </row>
    <row r="219" spans="2:9" hidden="1" outlineLevel="1">
      <c r="B219" s="92" t="s">
        <v>852</v>
      </c>
      <c r="C219" s="103"/>
      <c r="E219" s="315" t="s">
        <v>672</v>
      </c>
      <c r="F219" s="85" t="s">
        <v>672</v>
      </c>
      <c r="G219" s="85" t="s">
        <v>705</v>
      </c>
      <c r="H219" s="85" t="s">
        <v>706</v>
      </c>
      <c r="I219" t="str" cm="1">
        <f t="array" ref="I219">INDEX(E219:H219,1,chosen.data.speed)</f>
        <v>Unlimited</v>
      </c>
    </row>
    <row r="220" spans="2:9" hidden="1" outlineLevel="1">
      <c r="B220" s="92" t="s">
        <v>853</v>
      </c>
      <c r="C220" s="103"/>
      <c r="E220" s="315" t="s">
        <v>672</v>
      </c>
      <c r="F220" s="85" t="s">
        <v>672</v>
      </c>
      <c r="G220" s="85" t="s">
        <v>705</v>
      </c>
      <c r="H220" s="85" t="s">
        <v>706</v>
      </c>
      <c r="I220" t="str" cm="1">
        <f t="array" ref="I220">INDEX(E220:H220,1,chosen.data.speed)</f>
        <v>Unlimited</v>
      </c>
    </row>
    <row r="221" spans="2:9" hidden="1" outlineLevel="1">
      <c r="B221" s="92" t="s">
        <v>854</v>
      </c>
      <c r="C221" s="103"/>
      <c r="E221" s="315" t="s">
        <v>672</v>
      </c>
      <c r="F221" s="85" t="s">
        <v>672</v>
      </c>
      <c r="G221" s="85" t="s">
        <v>705</v>
      </c>
      <c r="H221" s="85" t="s">
        <v>706</v>
      </c>
      <c r="I221" t="str" cm="1">
        <f t="array" ref="I221">INDEX(E221:H221,1,chosen.data.speed)</f>
        <v>Unlimited</v>
      </c>
    </row>
    <row r="222" spans="2:9" hidden="1" outlineLevel="1">
      <c r="B222" s="92" t="s">
        <v>855</v>
      </c>
      <c r="C222" s="103"/>
      <c r="E222" s="315" t="s">
        <v>672</v>
      </c>
      <c r="F222" s="85" t="s">
        <v>672</v>
      </c>
      <c r="G222" s="85" t="s">
        <v>705</v>
      </c>
      <c r="H222" s="85" t="s">
        <v>706</v>
      </c>
      <c r="I222" t="str" cm="1">
        <f t="array" ref="I222">INDEX(E222:H222,1,chosen.data.speed)</f>
        <v>Unlimited</v>
      </c>
    </row>
    <row r="223" spans="2:9" hidden="1" outlineLevel="1">
      <c r="B223" s="92" t="s">
        <v>856</v>
      </c>
      <c r="C223" s="103"/>
      <c r="E223" s="315" t="s">
        <v>672</v>
      </c>
      <c r="F223" s="85" t="s">
        <v>672</v>
      </c>
      <c r="G223" s="85" t="s">
        <v>705</v>
      </c>
      <c r="H223" s="85" t="s">
        <v>706</v>
      </c>
      <c r="I223" t="str" cm="1">
        <f t="array" ref="I223">INDEX(E223:H223,1,chosen.data.speed)</f>
        <v>Unlimited</v>
      </c>
    </row>
    <row r="224" spans="2:9" hidden="1" outlineLevel="1">
      <c r="B224" s="92" t="s">
        <v>857</v>
      </c>
      <c r="C224" s="103"/>
      <c r="E224" s="315" t="s">
        <v>672</v>
      </c>
      <c r="F224" s="85" t="s">
        <v>672</v>
      </c>
      <c r="G224" s="85" t="s">
        <v>705</v>
      </c>
      <c r="H224" s="85" t="s">
        <v>706</v>
      </c>
      <c r="I224" t="str" cm="1">
        <f t="array" ref="I224">INDEX(E224:H224,1,chosen.data.speed)</f>
        <v>Unlimited</v>
      </c>
    </row>
    <row r="225" spans="2:9" hidden="1" outlineLevel="1">
      <c r="B225" s="92" t="s">
        <v>858</v>
      </c>
      <c r="C225" s="103"/>
      <c r="E225" s="315" t="s">
        <v>672</v>
      </c>
      <c r="F225" s="85" t="s">
        <v>672</v>
      </c>
      <c r="G225" s="85" t="s">
        <v>705</v>
      </c>
      <c r="H225" s="85" t="s">
        <v>706</v>
      </c>
      <c r="I225" t="str" cm="1">
        <f t="array" ref="I225">INDEX(E225:H225,1,chosen.data.speed)</f>
        <v>Unlimited</v>
      </c>
    </row>
    <row r="226" spans="2:9" hidden="1" outlineLevel="1">
      <c r="B226" s="92" t="s">
        <v>859</v>
      </c>
      <c r="C226" s="103"/>
      <c r="E226" s="315" t="s">
        <v>672</v>
      </c>
      <c r="F226" s="85" t="s">
        <v>672</v>
      </c>
      <c r="G226" s="85" t="s">
        <v>705</v>
      </c>
      <c r="H226" s="85" t="s">
        <v>706</v>
      </c>
      <c r="I226" t="str" cm="1">
        <f t="array" ref="I226">INDEX(E226:H226,1,chosen.data.speed)</f>
        <v>Unlimited</v>
      </c>
    </row>
    <row r="227" spans="2:9" hidden="1" outlineLevel="1">
      <c r="B227" s="92" t="s">
        <v>860</v>
      </c>
      <c r="C227" s="103"/>
      <c r="E227" s="315" t="s">
        <v>672</v>
      </c>
      <c r="F227" s="85" t="s">
        <v>672</v>
      </c>
      <c r="G227" s="85" t="s">
        <v>705</v>
      </c>
      <c r="H227" s="85" t="s">
        <v>706</v>
      </c>
      <c r="I227" t="str" cm="1">
        <f t="array" ref="I227">INDEX(E227:H227,1,chosen.data.speed)</f>
        <v>Unlimited</v>
      </c>
    </row>
    <row r="228" spans="2:9" hidden="1" outlineLevel="1">
      <c r="B228" s="92" t="s">
        <v>861</v>
      </c>
      <c r="C228" s="103"/>
      <c r="E228" s="315" t="s">
        <v>672</v>
      </c>
      <c r="F228" s="85" t="s">
        <v>672</v>
      </c>
      <c r="G228" s="85" t="s">
        <v>705</v>
      </c>
      <c r="H228" s="85" t="s">
        <v>706</v>
      </c>
      <c r="I228" t="str" cm="1">
        <f t="array" ref="I228">INDEX(E228:H228,1,chosen.data.speed)</f>
        <v>Unlimited</v>
      </c>
    </row>
    <row r="229" spans="2:9" hidden="1" outlineLevel="1">
      <c r="B229" s="92" t="s">
        <v>862</v>
      </c>
      <c r="C229" s="103"/>
      <c r="E229" s="315" t="s">
        <v>672</v>
      </c>
      <c r="F229" s="85" t="s">
        <v>672</v>
      </c>
      <c r="G229" s="85" t="s">
        <v>705</v>
      </c>
      <c r="H229" s="85" t="s">
        <v>706</v>
      </c>
      <c r="I229" t="str" cm="1">
        <f t="array" ref="I229">INDEX(E229:H229,1,chosen.data.speed)</f>
        <v>Unlimited</v>
      </c>
    </row>
    <row r="230" spans="2:9" hidden="1" outlineLevel="1">
      <c r="B230" s="92" t="s">
        <v>863</v>
      </c>
      <c r="C230" s="103"/>
      <c r="E230" s="315" t="s">
        <v>672</v>
      </c>
      <c r="F230" s="85" t="s">
        <v>672</v>
      </c>
      <c r="G230" s="85" t="s">
        <v>705</v>
      </c>
      <c r="H230" s="85" t="s">
        <v>706</v>
      </c>
      <c r="I230" t="str" cm="1">
        <f t="array" ref="I230">INDEX(E230:H230,1,chosen.data.speed)</f>
        <v>Unlimited</v>
      </c>
    </row>
    <row r="231" spans="2:9" hidden="1" outlineLevel="1">
      <c r="B231" s="92" t="s">
        <v>864</v>
      </c>
      <c r="C231" s="103"/>
      <c r="E231" s="315" t="s">
        <v>672</v>
      </c>
      <c r="F231" s="85" t="s">
        <v>672</v>
      </c>
      <c r="G231" s="85" t="s">
        <v>705</v>
      </c>
      <c r="H231" s="85" t="s">
        <v>706</v>
      </c>
      <c r="I231" t="str" cm="1">
        <f t="array" ref="I231">INDEX(E231:H231,1,chosen.data.speed)</f>
        <v>Unlimited</v>
      </c>
    </row>
    <row r="232" spans="2:9" hidden="1" outlineLevel="1">
      <c r="B232" s="92" t="s">
        <v>865</v>
      </c>
      <c r="C232" s="103"/>
      <c r="E232" s="315" t="s">
        <v>672</v>
      </c>
      <c r="F232" s="85" t="s">
        <v>672</v>
      </c>
      <c r="G232" s="85" t="s">
        <v>705</v>
      </c>
      <c r="H232" s="85" t="s">
        <v>706</v>
      </c>
      <c r="I232" t="str" cm="1">
        <f t="array" ref="I232">INDEX(E232:H232,1,chosen.data.speed)</f>
        <v>Unlimited</v>
      </c>
    </row>
    <row r="233" spans="2:9" hidden="1" outlineLevel="1">
      <c r="B233" s="92" t="s">
        <v>866</v>
      </c>
      <c r="C233" s="103"/>
      <c r="E233" s="315" t="s">
        <v>672</v>
      </c>
      <c r="F233" s="85" t="s">
        <v>672</v>
      </c>
      <c r="G233" s="85" t="s">
        <v>705</v>
      </c>
      <c r="H233" s="85" t="s">
        <v>706</v>
      </c>
      <c r="I233" t="str" cm="1">
        <f t="array" ref="I233">INDEX(E233:H233,1,chosen.data.speed)</f>
        <v>Unlimited</v>
      </c>
    </row>
    <row r="234" spans="2:9" hidden="1" outlineLevel="1">
      <c r="B234" s="92" t="s">
        <v>867</v>
      </c>
      <c r="C234" s="103"/>
      <c r="E234" s="315" t="s">
        <v>672</v>
      </c>
      <c r="F234" s="85" t="s">
        <v>672</v>
      </c>
      <c r="G234" s="85" t="s">
        <v>705</v>
      </c>
      <c r="H234" s="85" t="s">
        <v>706</v>
      </c>
      <c r="I234" t="str" cm="1">
        <f t="array" ref="I234">INDEX(E234:H234,1,chosen.data.speed)</f>
        <v>Unlimited</v>
      </c>
    </row>
    <row r="235" spans="2:9" hidden="1" outlineLevel="1">
      <c r="B235" s="92" t="s">
        <v>868</v>
      </c>
      <c r="C235" s="103"/>
      <c r="E235" s="315" t="s">
        <v>672</v>
      </c>
      <c r="F235" s="85" t="s">
        <v>672</v>
      </c>
      <c r="G235" s="85" t="s">
        <v>705</v>
      </c>
      <c r="H235" s="85" t="s">
        <v>706</v>
      </c>
      <c r="I235" t="str" cm="1">
        <f t="array" ref="I235">INDEX(E235:H235,1,chosen.data.speed)</f>
        <v>Unlimited</v>
      </c>
    </row>
    <row r="236" spans="2:9" hidden="1" outlineLevel="1">
      <c r="B236" s="92" t="s">
        <v>869</v>
      </c>
      <c r="C236" s="103"/>
      <c r="E236" s="315" t="s">
        <v>672</v>
      </c>
      <c r="F236" s="85" t="s">
        <v>672</v>
      </c>
      <c r="G236" s="85" t="s">
        <v>705</v>
      </c>
      <c r="H236" s="85" t="s">
        <v>706</v>
      </c>
      <c r="I236" t="str" cm="1">
        <f t="array" ref="I236">INDEX(E236:H236,1,chosen.data.speed)</f>
        <v>Unlimited</v>
      </c>
    </row>
    <row r="237" spans="2:9" hidden="1" outlineLevel="1">
      <c r="B237" s="92" t="s">
        <v>870</v>
      </c>
      <c r="C237" s="103"/>
      <c r="E237" s="315" t="s">
        <v>672</v>
      </c>
      <c r="F237" s="85" t="s">
        <v>672</v>
      </c>
      <c r="G237" s="85" t="s">
        <v>705</v>
      </c>
      <c r="H237" s="85" t="s">
        <v>706</v>
      </c>
      <c r="I237" t="str" cm="1">
        <f t="array" ref="I237">INDEX(E237:H237,1,chosen.data.speed)</f>
        <v>Unlimited</v>
      </c>
    </row>
    <row r="238" spans="2:9" hidden="1" outlineLevel="1">
      <c r="B238" s="92" t="s">
        <v>871</v>
      </c>
      <c r="C238" s="103"/>
      <c r="E238" s="315" t="s">
        <v>672</v>
      </c>
      <c r="F238" s="85" t="s">
        <v>672</v>
      </c>
      <c r="G238" s="85" t="s">
        <v>705</v>
      </c>
      <c r="H238" s="85" t="s">
        <v>706</v>
      </c>
      <c r="I238" t="str" cm="1">
        <f t="array" ref="I238">INDEX(E238:H238,1,chosen.data.speed)</f>
        <v>Unlimited</v>
      </c>
    </row>
    <row r="239" spans="2:9" hidden="1" outlineLevel="1">
      <c r="B239" s="92" t="s">
        <v>872</v>
      </c>
      <c r="C239" s="103"/>
      <c r="E239" s="315" t="s">
        <v>672</v>
      </c>
      <c r="F239" s="85" t="s">
        <v>672</v>
      </c>
      <c r="G239" s="85" t="s">
        <v>705</v>
      </c>
      <c r="H239" s="85" t="s">
        <v>706</v>
      </c>
      <c r="I239" t="str" cm="1">
        <f t="array" ref="I239">INDEX(E239:H239,1,chosen.data.speed)</f>
        <v>Unlimited</v>
      </c>
    </row>
    <row r="240" spans="2:9" hidden="1" outlineLevel="1">
      <c r="B240" s="92" t="s">
        <v>873</v>
      </c>
      <c r="C240" s="103"/>
      <c r="E240" s="315" t="s">
        <v>672</v>
      </c>
      <c r="F240" s="85" t="s">
        <v>672</v>
      </c>
      <c r="G240" s="85" t="s">
        <v>705</v>
      </c>
      <c r="H240" s="85" t="s">
        <v>706</v>
      </c>
      <c r="I240" t="str" cm="1">
        <f t="array" ref="I240">INDEX(E240:H240,1,chosen.data.speed)</f>
        <v>Unlimited</v>
      </c>
    </row>
    <row r="241" spans="2:9" hidden="1" outlineLevel="1">
      <c r="B241" s="92" t="s">
        <v>874</v>
      </c>
      <c r="C241" s="103"/>
      <c r="E241" s="315" t="s">
        <v>672</v>
      </c>
      <c r="F241" s="85" t="s">
        <v>672</v>
      </c>
      <c r="G241" s="85" t="s">
        <v>705</v>
      </c>
      <c r="H241" s="85" t="s">
        <v>706</v>
      </c>
      <c r="I241" t="str" cm="1">
        <f t="array" ref="I241">INDEX(E241:H241,1,chosen.data.speed)</f>
        <v>Unlimited</v>
      </c>
    </row>
    <row r="242" spans="2:9" hidden="1" outlineLevel="1">
      <c r="B242" s="92" t="s">
        <v>875</v>
      </c>
      <c r="C242" s="103"/>
      <c r="E242" s="315" t="s">
        <v>672</v>
      </c>
      <c r="F242" s="85" t="s">
        <v>672</v>
      </c>
      <c r="G242" s="85" t="s">
        <v>705</v>
      </c>
      <c r="H242" s="85" t="s">
        <v>706</v>
      </c>
      <c r="I242" t="str" cm="1">
        <f t="array" ref="I242">INDEX(E242:H242,1,chosen.data.speed)</f>
        <v>Unlimited</v>
      </c>
    </row>
    <row r="243" spans="2:9" hidden="1" outlineLevel="1">
      <c r="B243" s="92" t="s">
        <v>876</v>
      </c>
      <c r="C243" s="103"/>
      <c r="E243" s="315" t="s">
        <v>672</v>
      </c>
      <c r="F243" s="85" t="s">
        <v>672</v>
      </c>
      <c r="G243" s="85" t="s">
        <v>705</v>
      </c>
      <c r="H243" s="85" t="s">
        <v>706</v>
      </c>
      <c r="I243" t="str" cm="1">
        <f t="array" ref="I243">INDEX(E243:H243,1,chosen.data.speed)</f>
        <v>Unlimited</v>
      </c>
    </row>
    <row r="244" spans="2:9" collapsed="1">
      <c r="B244" s="92" t="s">
        <v>877</v>
      </c>
      <c r="C244" s="103"/>
      <c r="E244" s="315" t="s">
        <v>672</v>
      </c>
      <c r="F244" s="85" t="s">
        <v>672</v>
      </c>
      <c r="G244" s="85" t="s">
        <v>705</v>
      </c>
      <c r="H244" s="85" t="s">
        <v>706</v>
      </c>
      <c r="I244" t="str" cm="1">
        <f t="array" ref="I244">INDEX(E244:H244,1,chosen.data.speed)</f>
        <v>Unlimited</v>
      </c>
    </row>
    <row r="245" spans="2:9" ht="12">
      <c r="B245" s="43" t="s">
        <v>145</v>
      </c>
      <c r="C245" s="43" t="s">
        <v>255</v>
      </c>
      <c r="I245" s="43" t="s">
        <v>685</v>
      </c>
    </row>
    <row r="247" spans="2:9">
      <c r="B247" s="1" t="s">
        <v>610</v>
      </c>
    </row>
    <row r="248" spans="2:9">
      <c r="B248" s="92" t="s">
        <v>57</v>
      </c>
    </row>
    <row r="249" spans="2:9">
      <c r="B249" s="92" t="s">
        <v>611</v>
      </c>
    </row>
    <row r="250" spans="2:9">
      <c r="B250" s="92" t="s">
        <v>657</v>
      </c>
    </row>
    <row r="251" spans="2:9" ht="12">
      <c r="B251" s="43" t="s">
        <v>612</v>
      </c>
    </row>
    <row r="253" spans="2:9">
      <c r="B253" s="1" t="s">
        <v>671</v>
      </c>
    </row>
    <row r="254" spans="2:9">
      <c r="B254" s="92" t="s">
        <v>706</v>
      </c>
    </row>
    <row r="255" spans="2:9">
      <c r="B255" s="92" t="s">
        <v>705</v>
      </c>
    </row>
    <row r="256" spans="2:9">
      <c r="B256" s="92" t="s">
        <v>672</v>
      </c>
    </row>
    <row r="257" spans="2:3" ht="12">
      <c r="B257" s="43" t="s">
        <v>673</v>
      </c>
    </row>
    <row r="259" spans="2:3">
      <c r="B259" s="1" t="s">
        <v>686</v>
      </c>
    </row>
    <row r="260" spans="2:3">
      <c r="B260" s="92" t="s">
        <v>689</v>
      </c>
    </row>
    <row r="261" spans="2:3">
      <c r="B261" s="92" t="s">
        <v>679</v>
      </c>
    </row>
    <row r="262" spans="2:3">
      <c r="B262" s="92" t="s">
        <v>707</v>
      </c>
    </row>
    <row r="263" spans="2:3">
      <c r="B263" s="92" t="s">
        <v>708</v>
      </c>
    </row>
    <row r="264" spans="2:3" ht="12">
      <c r="B264" s="43" t="s">
        <v>680</v>
      </c>
    </row>
    <row r="266" spans="2:3" ht="12">
      <c r="B266" s="92" t="s">
        <v>107</v>
      </c>
      <c r="C266" s="43" t="s">
        <v>677</v>
      </c>
    </row>
    <row r="268" spans="2:3">
      <c r="B268" s="1" t="s">
        <v>715</v>
      </c>
    </row>
    <row r="269" spans="2:3">
      <c r="B269" s="92" t="s">
        <v>878</v>
      </c>
    </row>
    <row r="270" spans="2:3">
      <c r="B270" s="92" t="s">
        <v>879</v>
      </c>
    </row>
    <row r="271" spans="2:3">
      <c r="B271" s="92" t="s">
        <v>880</v>
      </c>
    </row>
    <row r="272" spans="2:3">
      <c r="B272" s="92" t="s">
        <v>881</v>
      </c>
    </row>
    <row r="273" spans="2:2" ht="12">
      <c r="B273" s="43" t="s">
        <v>716</v>
      </c>
    </row>
  </sheetData>
  <phoneticPr fontId="9" type="noConversion"/>
  <dataValidations disablePrompts="1" count="4">
    <dataValidation type="list" allowBlank="1" showInputMessage="1" showErrorMessage="1" sqref="C70:E73 C68:H68 C69:K69" xr:uid="{00000000-0002-0000-0500-000000000000}">
      <formula1>revenue.descriptions.short</formula1>
    </dataValidation>
    <dataValidation type="list" allowBlank="1" showInputMessage="1" showErrorMessage="1" sqref="B4:B23" xr:uid="{36A74A32-7F0F-4E05-B37C-D9409A0F21AE}">
      <formula1>wholesale.offer.types</formula1>
    </dataValidation>
    <dataValidation type="list" allowBlank="1" showInputMessage="1" showErrorMessage="1" sqref="B27:B28" xr:uid="{C50126AB-D75F-499D-99A8-D581BF277334}">
      <formula1>wholesale.offers</formula1>
    </dataValidation>
    <dataValidation type="list" allowBlank="1" showInputMessage="1" showErrorMessage="1" sqref="E132:H166 E171:H205 E93:H127 E210:H244" xr:uid="{00000000-0002-0000-0500-000003000000}">
      <formula1>data.speed.options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C00000"/>
    <pageSetUpPr autoPageBreaks="0"/>
  </sheetPr>
  <dimension ref="A1:X205"/>
  <sheetViews>
    <sheetView showGridLines="0" defaultGridColor="0" colorId="22" zoomScaleNormal="100" workbookViewId="0">
      <pane ySplit="1" topLeftCell="A2" activePane="bottomLeft" state="frozen"/>
      <selection pane="bottomLeft"/>
    </sheetView>
  </sheetViews>
  <sheetFormatPr baseColWidth="10" defaultColWidth="12.69921875" defaultRowHeight="11.5" outlineLevelRow="1"/>
  <cols>
    <col min="1" max="1" width="6.69921875" customWidth="1"/>
    <col min="2" max="2" width="8.59765625" customWidth="1"/>
    <col min="3" max="3" width="27.69921875" customWidth="1"/>
    <col min="4" max="4" width="28.09765625" customWidth="1"/>
    <col min="5" max="5" width="13.8984375" customWidth="1"/>
    <col min="6" max="6" width="11.8984375" customWidth="1"/>
    <col min="7" max="7" width="14.59765625" customWidth="1"/>
    <col min="8" max="8" width="15.69921875" customWidth="1"/>
    <col min="9" max="10" width="11.8984375" customWidth="1"/>
    <col min="12" max="12" width="2.09765625" customWidth="1"/>
    <col min="13" max="13" width="13.3984375" customWidth="1"/>
    <col min="14" max="14" width="2.09765625" customWidth="1"/>
    <col min="15" max="19" width="11.59765625" customWidth="1"/>
    <col min="21" max="21" width="12.69921875" customWidth="1"/>
  </cols>
  <sheetData>
    <row r="1" spans="2:9" s="70" customFormat="1" ht="33.75" customHeight="1">
      <c r="D1" s="80" t="s">
        <v>138</v>
      </c>
      <c r="I1" s="117"/>
    </row>
    <row r="3" spans="2:9" s="207" customFormat="1">
      <c r="B3" s="207" t="s">
        <v>377</v>
      </c>
    </row>
    <row r="5" spans="2:9">
      <c r="B5" t="s">
        <v>627</v>
      </c>
      <c r="E5" s="242" t="str">
        <f>IF(SUM(D6:D12)=0,"OK","CHECK")</f>
        <v>OK</v>
      </c>
    </row>
    <row r="6" spans="2:9" hidden="1" outlineLevel="1">
      <c r="C6" t="s">
        <v>175</v>
      </c>
      <c r="D6" s="123">
        <f>check.current.MVNO.SP.access.fee</f>
        <v>0</v>
      </c>
    </row>
    <row r="7" spans="2:9" hidden="1" outlineLevel="1">
      <c r="C7" t="s">
        <v>162</v>
      </c>
      <c r="D7" s="123">
        <f>check.current.MVNO.SP.voice</f>
        <v>0</v>
      </c>
    </row>
    <row r="8" spans="2:9" hidden="1" outlineLevel="1">
      <c r="C8" t="s">
        <v>164</v>
      </c>
      <c r="D8" s="123">
        <f>check.current.MVNO.SP.SMS</f>
        <v>0</v>
      </c>
    </row>
    <row r="9" spans="2:9" hidden="1" outlineLevel="1">
      <c r="C9" t="s">
        <v>165</v>
      </c>
      <c r="D9" s="123">
        <f>check.current.MVNO.SP.data</f>
        <v>0</v>
      </c>
    </row>
    <row r="10" spans="2:9" hidden="1" outlineLevel="1">
      <c r="C10" t="s">
        <v>177</v>
      </c>
      <c r="D10" s="123">
        <f>check.current.MVNO.SP.termination</f>
        <v>0</v>
      </c>
    </row>
    <row r="11" spans="2:9" hidden="1" outlineLevel="1">
      <c r="C11" t="s">
        <v>264</v>
      </c>
      <c r="D11" s="123">
        <f>check.current.MVNO.SP.roaming</f>
        <v>0</v>
      </c>
    </row>
    <row r="12" spans="2:9" hidden="1" outlineLevel="1">
      <c r="C12" t="s">
        <v>161</v>
      </c>
      <c r="D12" s="123">
        <f>check.current.MVNO.SP.VAS</f>
        <v>0</v>
      </c>
    </row>
    <row r="13" spans="2:9" collapsed="1"/>
    <row r="14" spans="2:9">
      <c r="B14" t="s">
        <v>588</v>
      </c>
      <c r="D14" s="235">
        <f>SUM(D15:D18)</f>
        <v>0</v>
      </c>
    </row>
    <row r="15" spans="2:9" hidden="1" outlineLevel="1">
      <c r="C15" t="s">
        <v>589</v>
      </c>
      <c r="D15" s="227">
        <f>check.naming.consistency</f>
        <v>0</v>
      </c>
    </row>
    <row r="16" spans="2:9" hidden="1" outlineLevel="1">
      <c r="C16" t="s">
        <v>590</v>
      </c>
      <c r="D16" s="227">
        <f>SUM(check.current.offers)</f>
        <v>0</v>
      </c>
    </row>
    <row r="17" spans="2:7" hidden="1" outlineLevel="1">
      <c r="C17" t="s">
        <v>593</v>
      </c>
      <c r="D17" s="227">
        <f>check.product.weights</f>
        <v>0</v>
      </c>
    </row>
    <row r="18" spans="2:7" hidden="1" outlineLevel="1">
      <c r="C18" t="s">
        <v>139</v>
      </c>
      <c r="D18" s="227">
        <f>SUM(check.current.offers)</f>
        <v>0</v>
      </c>
    </row>
    <row r="19" spans="2:7" ht="12" collapsed="1">
      <c r="B19" t="s">
        <v>423</v>
      </c>
      <c r="D19" s="185" t="str">
        <f>INDEX(wholesale.offers.type,MATCH(wholesale.offer.selected,wholesale.offers,0))</f>
        <v>MVNO</v>
      </c>
      <c r="E19" s="43" t="s">
        <v>425</v>
      </c>
    </row>
    <row r="20" spans="2:7" ht="12">
      <c r="B20" t="s">
        <v>230</v>
      </c>
      <c r="D20" s="310" t="s">
        <v>718</v>
      </c>
      <c r="E20" s="43" t="s">
        <v>151</v>
      </c>
    </row>
    <row r="22" spans="2:7" ht="12">
      <c r="B22" t="s">
        <v>152</v>
      </c>
      <c r="D22" s="118">
        <f>INDEX(wholesale.offers.mkt.share, MATCH(wholesale.offer.selected, wholesale.offers, 0))</f>
        <v>0.03</v>
      </c>
      <c r="E22" s="43" t="s">
        <v>153</v>
      </c>
    </row>
    <row r="23" spans="2:7" ht="12">
      <c r="B23" t="s">
        <v>201</v>
      </c>
      <c r="D23" s="94">
        <f>retail.market.share.active*market.retail.subscribers</f>
        <v>180221.55</v>
      </c>
      <c r="E23" s="43" t="s">
        <v>202</v>
      </c>
    </row>
    <row r="24" spans="2:7" ht="12" hidden="1" outlineLevel="1">
      <c r="C24" s="86" t="str">
        <f t="array" ref="C24:C27">segments</f>
        <v>Residential</v>
      </c>
      <c r="D24" s="94">
        <f>retail.market.share.active*market.retail.segment.1.subscribers</f>
        <v>130523.25</v>
      </c>
      <c r="E24" s="43" t="s">
        <v>266</v>
      </c>
    </row>
    <row r="25" spans="2:7" ht="12" hidden="1" customHeight="1" outlineLevel="1">
      <c r="C25" s="86" t="str">
        <v>Business</v>
      </c>
      <c r="D25" s="94">
        <f>retail.market.share.active*market.retail.segment.2.subscribers</f>
        <v>49698.299999999996</v>
      </c>
      <c r="E25" s="43" t="s">
        <v>267</v>
      </c>
    </row>
    <row r="26" spans="2:7" ht="12" hidden="1" customHeight="1" outlineLevel="1">
      <c r="C26" s="86" t="str">
        <v>SpareSegmentC</v>
      </c>
      <c r="D26" s="94">
        <f>retail.market.share.active*market.retail.segment.3.subscribers</f>
        <v>0</v>
      </c>
      <c r="E26" s="43" t="s">
        <v>268</v>
      </c>
    </row>
    <row r="27" spans="2:7" ht="12" hidden="1" outlineLevel="1">
      <c r="C27" s="86" t="str">
        <v>SpareSegmentD</v>
      </c>
      <c r="D27" s="94">
        <f>retail.market.share.active*market.retail.segment.4.subscribers</f>
        <v>0</v>
      </c>
      <c r="E27" s="43" t="s">
        <v>269</v>
      </c>
    </row>
    <row r="28" spans="2:7" ht="12" hidden="1" outlineLevel="1">
      <c r="D28" s="43" t="s">
        <v>618</v>
      </c>
    </row>
    <row r="29" spans="2:7" ht="12" collapsed="1">
      <c r="B29" t="s">
        <v>674</v>
      </c>
      <c r="D29" s="85" t="s">
        <v>689</v>
      </c>
      <c r="E29" s="43" t="s">
        <v>675</v>
      </c>
      <c r="F29" s="238">
        <f>MATCH(D29,list.data.speed.choices,0)</f>
        <v>1</v>
      </c>
      <c r="G29" s="297" t="s">
        <v>678</v>
      </c>
    </row>
    <row r="30" spans="2:7" ht="12">
      <c r="B30" t="s">
        <v>644</v>
      </c>
      <c r="D30" s="85" t="s">
        <v>657</v>
      </c>
      <c r="E30" s="43" t="s">
        <v>613</v>
      </c>
    </row>
    <row r="31" spans="2:7" ht="12">
      <c r="B31" t="s">
        <v>600</v>
      </c>
      <c r="D31" s="301">
        <v>44986</v>
      </c>
      <c r="E31" s="43" t="s">
        <v>601</v>
      </c>
    </row>
    <row r="32" spans="2:7" ht="12">
      <c r="B32" t="s">
        <v>543</v>
      </c>
      <c r="D32" s="291">
        <v>0</v>
      </c>
      <c r="E32" s="43" t="s">
        <v>544</v>
      </c>
    </row>
    <row r="34" spans="1:24" s="207" customFormat="1">
      <c r="B34" s="207" t="s">
        <v>333</v>
      </c>
    </row>
    <row r="36" spans="1:24" ht="39.65" customHeight="1">
      <c r="C36" s="1" t="s">
        <v>658</v>
      </c>
      <c r="D36" s="1" t="s">
        <v>169</v>
      </c>
      <c r="E36" s="1" t="s">
        <v>387</v>
      </c>
      <c r="F36" s="1" t="s">
        <v>173</v>
      </c>
      <c r="G36" s="1" t="s">
        <v>319</v>
      </c>
      <c r="H36" s="1" t="s">
        <v>219</v>
      </c>
      <c r="I36" s="1" t="s">
        <v>172</v>
      </c>
      <c r="J36" s="1" t="s">
        <v>199</v>
      </c>
      <c r="K36" s="1" t="s">
        <v>263</v>
      </c>
      <c r="M36" s="1" t="s">
        <v>667</v>
      </c>
      <c r="O36" s="302" t="s">
        <v>689</v>
      </c>
      <c r="P36" s="115" t="str">
        <f t="array" ref="P36:S36">TRANSPOSE(list.data.speed.choices)</f>
        <v>As provided by Telenor</v>
      </c>
      <c r="Q36" s="115" t="str">
        <v>All Unlimited</v>
      </c>
      <c r="R36" s="115" t="str">
        <v>All 150Mbit/s</v>
      </c>
      <c r="S36" s="115" t="str">
        <v>All 15Mbit/s</v>
      </c>
    </row>
    <row r="37" spans="1:24">
      <c r="C37" t="s">
        <v>7</v>
      </c>
      <c r="D37" s="89">
        <f>output.revenue.all</f>
        <v>0</v>
      </c>
      <c r="E37" s="89">
        <f>output.additional.revenue.all</f>
        <v>0</v>
      </c>
      <c r="F37" s="89">
        <f>-output.wholesale.costs.all</f>
        <v>0</v>
      </c>
      <c r="G37" s="137">
        <f>-output.fixed.ws.all</f>
        <v>0</v>
      </c>
      <c r="H37" s="89">
        <f>-output.interconnection.costs.all</f>
        <v>0</v>
      </c>
      <c r="I37" s="89">
        <f>-(output.retail.costs.all-fixed.cost.synergy.both.segments)</f>
        <v>0</v>
      </c>
      <c r="J37" s="138">
        <f>SUM(D37:I37)</f>
        <v>0</v>
      </c>
      <c r="K37" s="307" t="str">
        <f>IF((D37+E37)=0,label.not.applicable,J37/(D37+E37))</f>
        <v>N.a.</v>
      </c>
      <c r="L37" s="82"/>
      <c r="M37" s="308">
        <f>output.average.cost.per.MB.all.sub.weighted</f>
        <v>0</v>
      </c>
      <c r="O37" s="295" t="str">
        <f>K37</f>
        <v>N.a.</v>
      </c>
      <c r="P37" s="296" t="str">
        <f t="dataTable" ref="P37:S121" dt2D="0" dtr="1" r1="O36"/>
        <v>N.a.</v>
      </c>
      <c r="Q37" s="296" t="str">
        <v>N.a.</v>
      </c>
      <c r="R37" s="296" t="str">
        <v>N.a.</v>
      </c>
      <c r="S37" s="296" t="str">
        <v>N.a.</v>
      </c>
      <c r="T37" s="300"/>
      <c r="U37" s="300"/>
      <c r="V37" s="300"/>
      <c r="W37" s="300"/>
      <c r="X37" s="300"/>
    </row>
    <row r="38" spans="1:24">
      <c r="O38" s="269" t="str">
        <f>space</f>
        <v xml:space="preserve"> </v>
      </c>
      <c r="P38" s="269" t="str">
        <v xml:space="preserve"> </v>
      </c>
      <c r="Q38" s="269" t="str">
        <v xml:space="preserve"> </v>
      </c>
      <c r="R38" s="269" t="str">
        <v xml:space="preserve"> </v>
      </c>
      <c r="S38" s="269" t="str">
        <v xml:space="preserve"> </v>
      </c>
      <c r="T38" s="269"/>
      <c r="U38" s="269"/>
      <c r="V38" s="269"/>
      <c r="W38" s="269"/>
      <c r="X38" s="269"/>
    </row>
    <row r="39" spans="1:24" s="207" customFormat="1">
      <c r="A39" s="207">
        <v>1</v>
      </c>
      <c r="B39" s="207" t="str">
        <f>INDEX(segments,A39)</f>
        <v>Residential</v>
      </c>
      <c r="O39" s="207" t="str">
        <f>space</f>
        <v xml:space="preserve"> </v>
      </c>
      <c r="P39" s="207" t="str">
        <v xml:space="preserve"> </v>
      </c>
      <c r="Q39" s="207" t="str">
        <v xml:space="preserve"> </v>
      </c>
      <c r="R39" s="207" t="str">
        <v xml:space="preserve"> </v>
      </c>
      <c r="S39" s="207" t="str">
        <v xml:space="preserve"> </v>
      </c>
    </row>
    <row r="40" spans="1:24">
      <c r="O40" s="269" t="str">
        <f>space</f>
        <v xml:space="preserve"> </v>
      </c>
      <c r="P40" s="269" t="str">
        <v xml:space="preserve"> </v>
      </c>
      <c r="Q40" s="269" t="str">
        <v xml:space="preserve"> </v>
      </c>
      <c r="R40" s="269" t="str">
        <v xml:space="preserve"> </v>
      </c>
      <c r="S40" s="269" t="str">
        <v xml:space="preserve"> </v>
      </c>
      <c r="T40" s="269"/>
      <c r="U40" s="269"/>
      <c r="V40" s="269"/>
      <c r="W40" s="269"/>
      <c r="X40" s="269"/>
    </row>
    <row r="41" spans="1:24" ht="25.5" customHeight="1">
      <c r="C41" s="1" t="s">
        <v>262</v>
      </c>
      <c r="D41" s="1" t="s">
        <v>169</v>
      </c>
      <c r="E41" s="1" t="s">
        <v>387</v>
      </c>
      <c r="F41" s="1" t="s">
        <v>173</v>
      </c>
      <c r="G41" s="1" t="s">
        <v>319</v>
      </c>
      <c r="H41" s="1" t="s">
        <v>219</v>
      </c>
      <c r="I41" s="1" t="s">
        <v>172</v>
      </c>
      <c r="J41" s="1" t="s">
        <v>199</v>
      </c>
      <c r="K41" s="1" t="s">
        <v>263</v>
      </c>
      <c r="M41" s="1" t="s">
        <v>667</v>
      </c>
      <c r="O41" s="269" t="str">
        <f>space</f>
        <v xml:space="preserve"> </v>
      </c>
      <c r="P41" s="269" t="str">
        <v xml:space="preserve"> </v>
      </c>
      <c r="Q41" s="269" t="str">
        <v xml:space="preserve"> </v>
      </c>
      <c r="R41" s="269" t="str">
        <v xml:space="preserve"> </v>
      </c>
      <c r="S41" s="269" t="str">
        <v xml:space="preserve"> </v>
      </c>
      <c r="T41" s="269"/>
      <c r="U41" s="269"/>
      <c r="V41" s="269"/>
      <c r="W41" s="269"/>
      <c r="X41" s="269"/>
    </row>
    <row r="42" spans="1:24">
      <c r="C42" t="s">
        <v>7</v>
      </c>
      <c r="D42" s="89">
        <f>output.revenue.segment.1</f>
        <v>0</v>
      </c>
      <c r="E42" s="305">
        <f>output.additional.revenue.segment.1</f>
        <v>0</v>
      </c>
      <c r="F42" s="89">
        <f>-output.wholesale.costs.segment.1</f>
        <v>0</v>
      </c>
      <c r="G42" s="137">
        <f>-output.fixed.ws.segment.1</f>
        <v>0</v>
      </c>
      <c r="H42" s="89">
        <f>-output.interconnection.costs.segment.1</f>
        <v>0</v>
      </c>
      <c r="I42" s="89">
        <f>-output.retail.costs.segment.1</f>
        <v>0</v>
      </c>
      <c r="J42" s="138">
        <f>SUM(D42:I42)</f>
        <v>0</v>
      </c>
      <c r="K42" s="307" t="str">
        <f>IF((D42+E42)=0,label.not.applicable,J42/(D42+E42))</f>
        <v>N.a.</v>
      </c>
      <c r="L42" s="82"/>
      <c r="M42" s="223">
        <f>output.average.cost.per.MB.segment.1</f>
        <v>0</v>
      </c>
      <c r="O42" s="295" t="str">
        <f>K42</f>
        <v>N.a.</v>
      </c>
      <c r="P42" s="296" t="str">
        <v>N.a.</v>
      </c>
      <c r="Q42" s="296" t="str">
        <v>N.a.</v>
      </c>
      <c r="R42" s="296" t="str">
        <v>N.a.</v>
      </c>
      <c r="S42" s="296" t="str">
        <v>N.a.</v>
      </c>
      <c r="T42" s="300"/>
      <c r="U42" s="300"/>
      <c r="V42" s="300"/>
      <c r="W42" s="300"/>
      <c r="X42" s="300"/>
    </row>
    <row r="43" spans="1:24">
      <c r="O43" s="269" t="str">
        <f>space</f>
        <v xml:space="preserve"> </v>
      </c>
      <c r="P43" s="269" t="str">
        <v xml:space="preserve"> </v>
      </c>
      <c r="Q43" s="269" t="str">
        <v xml:space="preserve"> </v>
      </c>
      <c r="R43" s="269" t="str">
        <v xml:space="preserve"> </v>
      </c>
      <c r="S43" s="269" t="str">
        <v xml:space="preserve"> </v>
      </c>
      <c r="T43" s="269"/>
      <c r="U43" s="269"/>
      <c r="V43" s="269"/>
      <c r="W43" s="269"/>
      <c r="X43" s="269"/>
    </row>
    <row r="44" spans="1:24" ht="23">
      <c r="C44" s="1" t="s">
        <v>150</v>
      </c>
      <c r="D44" s="1" t="s">
        <v>169</v>
      </c>
      <c r="E44" s="1" t="s">
        <v>387</v>
      </c>
      <c r="F44" s="1" t="s">
        <v>173</v>
      </c>
      <c r="G44" s="1" t="s">
        <v>319</v>
      </c>
      <c r="H44" s="1" t="s">
        <v>219</v>
      </c>
      <c r="I44" s="1" t="s">
        <v>172</v>
      </c>
      <c r="J44" s="1" t="s">
        <v>199</v>
      </c>
      <c r="K44" s="1" t="s">
        <v>149</v>
      </c>
      <c r="O44" s="269" t="str">
        <f>space</f>
        <v xml:space="preserve"> </v>
      </c>
      <c r="P44" s="269" t="str">
        <v xml:space="preserve"> </v>
      </c>
      <c r="Q44" s="269" t="str">
        <v xml:space="preserve"> </v>
      </c>
      <c r="R44" s="269" t="str">
        <v xml:space="preserve"> </v>
      </c>
      <c r="S44" s="269" t="str">
        <v xml:space="preserve"> </v>
      </c>
      <c r="T44" s="269"/>
      <c r="U44" s="269"/>
      <c r="V44" s="269"/>
      <c r="W44" s="269"/>
      <c r="X44" s="269"/>
    </row>
    <row r="45" spans="1:24">
      <c r="C45" s="73" t="str">
        <f t="array" ref="C45:C79">offers.segment.1</f>
        <v>SpareOfferA1</v>
      </c>
      <c r="D45" s="123">
        <f t="array" ref="D45:D79">output.revenue.segment.1.offers</f>
        <v>0</v>
      </c>
      <c r="E45" s="139"/>
      <c r="F45" s="89">
        <f t="array" ref="F45:F79">-output.wholesale.costs.segment.1.offers</f>
        <v>0</v>
      </c>
      <c r="G45" s="122">
        <f t="shared" ref="G45:G79" si="0">IF($F$42=0, 0, IF(wholesale.offer.type.selected=lbl.SP,(F45+H45)/($F$42+$H$42)*$G$42,F45/$F$42*$G$42))</f>
        <v>0</v>
      </c>
      <c r="H45" s="89">
        <f t="array" ref="H45:H79">-output.interconnection.costs.segment.1.offers</f>
        <v>0</v>
      </c>
      <c r="I45" s="139"/>
      <c r="J45" s="138">
        <f>SUM(D45:I45)</f>
        <v>0</v>
      </c>
      <c r="K45" s="182" t="str">
        <f t="shared" ref="K45:K79" si="1">IF((D45+E45)=0,label.not.applicable,J45/(D45+E45))</f>
        <v>N.a.</v>
      </c>
      <c r="O45" s="295" t="str">
        <f t="shared" ref="O45:O79" si="2">K45</f>
        <v>N.a.</v>
      </c>
      <c r="P45" s="296" t="str">
        <v>N.a.</v>
      </c>
      <c r="Q45" s="296" t="str">
        <v>N.a.</v>
      </c>
      <c r="R45" s="296" t="str">
        <v>N.a.</v>
      </c>
      <c r="S45" s="296" t="str">
        <v>N.a.</v>
      </c>
      <c r="T45" s="300"/>
      <c r="U45" s="300"/>
      <c r="V45" s="300"/>
      <c r="W45" s="300"/>
      <c r="X45" s="300"/>
    </row>
    <row r="46" spans="1:24" hidden="1" outlineLevel="1">
      <c r="C46" s="73" t="str">
        <v>SpareOfferA2</v>
      </c>
      <c r="D46" s="123">
        <v>0</v>
      </c>
      <c r="E46" s="139"/>
      <c r="F46" s="89">
        <v>0</v>
      </c>
      <c r="G46" s="122">
        <f t="shared" si="0"/>
        <v>0</v>
      </c>
      <c r="H46" s="89">
        <v>0</v>
      </c>
      <c r="I46" s="139"/>
      <c r="J46" s="138">
        <f t="shared" ref="J46:J79" si="3">SUM(D46:I46)</f>
        <v>0</v>
      </c>
      <c r="K46" s="182" t="str">
        <f t="shared" si="1"/>
        <v>N.a.</v>
      </c>
      <c r="O46" s="295" t="str">
        <f t="shared" si="2"/>
        <v>N.a.</v>
      </c>
      <c r="P46" s="296" t="str">
        <v>N.a.</v>
      </c>
      <c r="Q46" s="296" t="str">
        <v>N.a.</v>
      </c>
      <c r="R46" s="296" t="str">
        <v>N.a.</v>
      </c>
      <c r="S46" s="296" t="str">
        <v>N.a.</v>
      </c>
      <c r="T46" s="300"/>
      <c r="U46" s="300"/>
      <c r="V46" s="300"/>
      <c r="W46" s="300"/>
      <c r="X46" s="300"/>
    </row>
    <row r="47" spans="1:24" hidden="1" outlineLevel="1">
      <c r="C47" s="73" t="str">
        <v>SpareOfferA3</v>
      </c>
      <c r="D47" s="123">
        <v>0</v>
      </c>
      <c r="E47" s="139"/>
      <c r="F47" s="89">
        <v>0</v>
      </c>
      <c r="G47" s="122">
        <f t="shared" si="0"/>
        <v>0</v>
      </c>
      <c r="H47" s="89">
        <v>0</v>
      </c>
      <c r="I47" s="139"/>
      <c r="J47" s="138">
        <f t="shared" si="3"/>
        <v>0</v>
      </c>
      <c r="K47" s="182" t="str">
        <f t="shared" si="1"/>
        <v>N.a.</v>
      </c>
      <c r="O47" s="295" t="str">
        <f t="shared" si="2"/>
        <v>N.a.</v>
      </c>
      <c r="P47" s="296" t="str">
        <v>N.a.</v>
      </c>
      <c r="Q47" s="296" t="str">
        <v>N.a.</v>
      </c>
      <c r="R47" s="296" t="str">
        <v>N.a.</v>
      </c>
      <c r="S47" s="296" t="str">
        <v>N.a.</v>
      </c>
      <c r="T47" s="300"/>
      <c r="U47" s="300"/>
      <c r="V47" s="300"/>
      <c r="W47" s="300"/>
      <c r="X47" s="300"/>
    </row>
    <row r="48" spans="1:24" hidden="1" outlineLevel="1">
      <c r="C48" s="73" t="str">
        <v>SpareOfferA4</v>
      </c>
      <c r="D48" s="123">
        <v>0</v>
      </c>
      <c r="E48" s="139"/>
      <c r="F48" s="89">
        <v>0</v>
      </c>
      <c r="G48" s="122">
        <f t="shared" si="0"/>
        <v>0</v>
      </c>
      <c r="H48" s="89">
        <v>0</v>
      </c>
      <c r="I48" s="139"/>
      <c r="J48" s="138">
        <f t="shared" si="3"/>
        <v>0</v>
      </c>
      <c r="K48" s="182" t="str">
        <f t="shared" si="1"/>
        <v>N.a.</v>
      </c>
      <c r="O48" s="295" t="str">
        <f t="shared" si="2"/>
        <v>N.a.</v>
      </c>
      <c r="P48" s="296" t="str">
        <v>N.a.</v>
      </c>
      <c r="Q48" s="296" t="str">
        <v>N.a.</v>
      </c>
      <c r="R48" s="296" t="str">
        <v>N.a.</v>
      </c>
      <c r="S48" s="296" t="str">
        <v>N.a.</v>
      </c>
      <c r="T48" s="300"/>
      <c r="U48" s="300"/>
      <c r="V48" s="300"/>
      <c r="W48" s="300"/>
      <c r="X48" s="300"/>
    </row>
    <row r="49" spans="3:24" hidden="1" outlineLevel="1">
      <c r="C49" s="73" t="str">
        <v>SpareOfferA5</v>
      </c>
      <c r="D49" s="123">
        <v>0</v>
      </c>
      <c r="E49" s="139"/>
      <c r="F49" s="89">
        <v>0</v>
      </c>
      <c r="G49" s="122">
        <f t="shared" si="0"/>
        <v>0</v>
      </c>
      <c r="H49" s="89">
        <v>0</v>
      </c>
      <c r="I49" s="139"/>
      <c r="J49" s="138">
        <f t="shared" si="3"/>
        <v>0</v>
      </c>
      <c r="K49" s="182" t="str">
        <f t="shared" si="1"/>
        <v>N.a.</v>
      </c>
      <c r="O49" s="295" t="str">
        <f t="shared" si="2"/>
        <v>N.a.</v>
      </c>
      <c r="P49" s="296" t="str">
        <v>N.a.</v>
      </c>
      <c r="Q49" s="296" t="str">
        <v>N.a.</v>
      </c>
      <c r="R49" s="296" t="str">
        <v>N.a.</v>
      </c>
      <c r="S49" s="296" t="str">
        <v>N.a.</v>
      </c>
      <c r="T49" s="300"/>
      <c r="U49" s="300"/>
      <c r="V49" s="300"/>
      <c r="W49" s="300"/>
      <c r="X49" s="300"/>
    </row>
    <row r="50" spans="3:24" hidden="1" outlineLevel="1">
      <c r="C50" s="73" t="str">
        <v>SpareOfferA6</v>
      </c>
      <c r="D50" s="123">
        <v>0</v>
      </c>
      <c r="E50" s="139"/>
      <c r="F50" s="89">
        <v>0</v>
      </c>
      <c r="G50" s="122">
        <f t="shared" si="0"/>
        <v>0</v>
      </c>
      <c r="H50" s="89">
        <v>0</v>
      </c>
      <c r="I50" s="139"/>
      <c r="J50" s="138">
        <f t="shared" si="3"/>
        <v>0</v>
      </c>
      <c r="K50" s="182" t="str">
        <f t="shared" si="1"/>
        <v>N.a.</v>
      </c>
      <c r="O50" s="295" t="str">
        <f t="shared" si="2"/>
        <v>N.a.</v>
      </c>
      <c r="P50" s="296" t="str">
        <v>N.a.</v>
      </c>
      <c r="Q50" s="296" t="str">
        <v>N.a.</v>
      </c>
      <c r="R50" s="296" t="str">
        <v>N.a.</v>
      </c>
      <c r="S50" s="296" t="str">
        <v>N.a.</v>
      </c>
      <c r="T50" s="300"/>
      <c r="U50" s="300"/>
      <c r="V50" s="300"/>
      <c r="W50" s="300"/>
      <c r="X50" s="300"/>
    </row>
    <row r="51" spans="3:24" hidden="1" outlineLevel="1">
      <c r="C51" s="73" t="str">
        <v>SpareOfferA7</v>
      </c>
      <c r="D51" s="123">
        <v>0</v>
      </c>
      <c r="E51" s="139"/>
      <c r="F51" s="89">
        <v>0</v>
      </c>
      <c r="G51" s="122">
        <f t="shared" si="0"/>
        <v>0</v>
      </c>
      <c r="H51" s="89">
        <v>0</v>
      </c>
      <c r="I51" s="139"/>
      <c r="J51" s="138">
        <f t="shared" si="3"/>
        <v>0</v>
      </c>
      <c r="K51" s="182" t="str">
        <f t="shared" si="1"/>
        <v>N.a.</v>
      </c>
      <c r="O51" s="295" t="str">
        <f t="shared" si="2"/>
        <v>N.a.</v>
      </c>
      <c r="P51" s="296" t="str">
        <v>N.a.</v>
      </c>
      <c r="Q51" s="296" t="str">
        <v>N.a.</v>
      </c>
      <c r="R51" s="296" t="str">
        <v>N.a.</v>
      </c>
      <c r="S51" s="296" t="str">
        <v>N.a.</v>
      </c>
      <c r="T51" s="300"/>
      <c r="U51" s="300"/>
      <c r="V51" s="300"/>
      <c r="W51" s="300"/>
      <c r="X51" s="300"/>
    </row>
    <row r="52" spans="3:24" hidden="1" outlineLevel="1">
      <c r="C52" s="73" t="str">
        <v>SpareOfferA8</v>
      </c>
      <c r="D52" s="123">
        <v>0</v>
      </c>
      <c r="E52" s="139"/>
      <c r="F52" s="89">
        <v>0</v>
      </c>
      <c r="G52" s="122">
        <f t="shared" si="0"/>
        <v>0</v>
      </c>
      <c r="H52" s="89">
        <v>0</v>
      </c>
      <c r="I52" s="139"/>
      <c r="J52" s="138">
        <f t="shared" si="3"/>
        <v>0</v>
      </c>
      <c r="K52" s="182" t="str">
        <f t="shared" si="1"/>
        <v>N.a.</v>
      </c>
      <c r="O52" s="295" t="str">
        <f t="shared" si="2"/>
        <v>N.a.</v>
      </c>
      <c r="P52" s="296" t="str">
        <v>N.a.</v>
      </c>
      <c r="Q52" s="296" t="str">
        <v>N.a.</v>
      </c>
      <c r="R52" s="296" t="str">
        <v>N.a.</v>
      </c>
      <c r="S52" s="296" t="str">
        <v>N.a.</v>
      </c>
      <c r="T52" s="300"/>
      <c r="U52" s="300"/>
      <c r="V52" s="300"/>
      <c r="W52" s="300"/>
      <c r="X52" s="300"/>
    </row>
    <row r="53" spans="3:24" hidden="1" outlineLevel="1">
      <c r="C53" s="73" t="str">
        <v>SpareOfferA9</v>
      </c>
      <c r="D53" s="123">
        <v>0</v>
      </c>
      <c r="E53" s="139"/>
      <c r="F53" s="89">
        <v>0</v>
      </c>
      <c r="G53" s="122">
        <f t="shared" si="0"/>
        <v>0</v>
      </c>
      <c r="H53" s="89">
        <v>0</v>
      </c>
      <c r="I53" s="139"/>
      <c r="J53" s="138">
        <f t="shared" si="3"/>
        <v>0</v>
      </c>
      <c r="K53" s="182" t="str">
        <f t="shared" si="1"/>
        <v>N.a.</v>
      </c>
      <c r="O53" s="295" t="str">
        <f t="shared" si="2"/>
        <v>N.a.</v>
      </c>
      <c r="P53" s="296" t="str">
        <v>N.a.</v>
      </c>
      <c r="Q53" s="296" t="str">
        <v>N.a.</v>
      </c>
      <c r="R53" s="296" t="str">
        <v>N.a.</v>
      </c>
      <c r="S53" s="296" t="str">
        <v>N.a.</v>
      </c>
      <c r="T53" s="300"/>
      <c r="U53" s="300"/>
      <c r="V53" s="300"/>
      <c r="W53" s="300"/>
      <c r="X53" s="300"/>
    </row>
    <row r="54" spans="3:24" hidden="1" outlineLevel="1">
      <c r="C54" s="73" t="str">
        <v>SpareOfferA10</v>
      </c>
      <c r="D54" s="123">
        <v>0</v>
      </c>
      <c r="E54" s="139"/>
      <c r="F54" s="89">
        <v>0</v>
      </c>
      <c r="G54" s="122">
        <f t="shared" si="0"/>
        <v>0</v>
      </c>
      <c r="H54" s="89">
        <v>0</v>
      </c>
      <c r="I54" s="139"/>
      <c r="J54" s="138">
        <f t="shared" si="3"/>
        <v>0</v>
      </c>
      <c r="K54" s="182" t="str">
        <f t="shared" si="1"/>
        <v>N.a.</v>
      </c>
      <c r="O54" s="295" t="str">
        <f t="shared" si="2"/>
        <v>N.a.</v>
      </c>
      <c r="P54" s="296" t="str">
        <v>N.a.</v>
      </c>
      <c r="Q54" s="296" t="str">
        <v>N.a.</v>
      </c>
      <c r="R54" s="296" t="str">
        <v>N.a.</v>
      </c>
      <c r="S54" s="296" t="str">
        <v>N.a.</v>
      </c>
      <c r="T54" s="300"/>
      <c r="U54" s="300"/>
      <c r="V54" s="300"/>
      <c r="W54" s="300"/>
      <c r="X54" s="300"/>
    </row>
    <row r="55" spans="3:24" hidden="1" outlineLevel="1">
      <c r="C55" s="73" t="str">
        <v>SpareOfferA11</v>
      </c>
      <c r="D55" s="123">
        <v>0</v>
      </c>
      <c r="E55" s="139"/>
      <c r="F55" s="89">
        <v>0</v>
      </c>
      <c r="G55" s="122">
        <f t="shared" si="0"/>
        <v>0</v>
      </c>
      <c r="H55" s="89">
        <v>0</v>
      </c>
      <c r="I55" s="139"/>
      <c r="J55" s="138">
        <f t="shared" si="3"/>
        <v>0</v>
      </c>
      <c r="K55" s="182" t="str">
        <f t="shared" si="1"/>
        <v>N.a.</v>
      </c>
      <c r="O55" s="295" t="str">
        <f t="shared" si="2"/>
        <v>N.a.</v>
      </c>
      <c r="P55" s="296" t="str">
        <v>N.a.</v>
      </c>
      <c r="Q55" s="296" t="str">
        <v>N.a.</v>
      </c>
      <c r="R55" s="296" t="str">
        <v>N.a.</v>
      </c>
      <c r="S55" s="296" t="str">
        <v>N.a.</v>
      </c>
      <c r="T55" s="300"/>
      <c r="U55" s="300"/>
      <c r="V55" s="300"/>
      <c r="W55" s="300"/>
      <c r="X55" s="300"/>
    </row>
    <row r="56" spans="3:24" hidden="1" outlineLevel="1">
      <c r="C56" s="73" t="str">
        <v>SpareOfferA12</v>
      </c>
      <c r="D56" s="123">
        <v>0</v>
      </c>
      <c r="E56" s="139"/>
      <c r="F56" s="89">
        <v>0</v>
      </c>
      <c r="G56" s="122">
        <f t="shared" si="0"/>
        <v>0</v>
      </c>
      <c r="H56" s="89">
        <v>0</v>
      </c>
      <c r="I56" s="139"/>
      <c r="J56" s="138">
        <f t="shared" si="3"/>
        <v>0</v>
      </c>
      <c r="K56" s="182" t="str">
        <f t="shared" si="1"/>
        <v>N.a.</v>
      </c>
      <c r="O56" s="295" t="str">
        <f t="shared" si="2"/>
        <v>N.a.</v>
      </c>
      <c r="P56" s="296" t="str">
        <v>N.a.</v>
      </c>
      <c r="Q56" s="296" t="str">
        <v>N.a.</v>
      </c>
      <c r="R56" s="296" t="str">
        <v>N.a.</v>
      </c>
      <c r="S56" s="296" t="str">
        <v>N.a.</v>
      </c>
      <c r="T56" s="300"/>
      <c r="U56" s="300"/>
      <c r="V56" s="300"/>
      <c r="W56" s="300"/>
      <c r="X56" s="300"/>
    </row>
    <row r="57" spans="3:24" hidden="1" outlineLevel="1">
      <c r="C57" s="73" t="str">
        <v>SpareOfferA13</v>
      </c>
      <c r="D57" s="123">
        <v>0</v>
      </c>
      <c r="E57" s="139"/>
      <c r="F57" s="89">
        <v>0</v>
      </c>
      <c r="G57" s="122">
        <f t="shared" si="0"/>
        <v>0</v>
      </c>
      <c r="H57" s="89">
        <v>0</v>
      </c>
      <c r="I57" s="139"/>
      <c r="J57" s="138">
        <f t="shared" si="3"/>
        <v>0</v>
      </c>
      <c r="K57" s="182" t="str">
        <f t="shared" si="1"/>
        <v>N.a.</v>
      </c>
      <c r="O57" s="295" t="str">
        <f t="shared" si="2"/>
        <v>N.a.</v>
      </c>
      <c r="P57" s="296" t="str">
        <v>N.a.</v>
      </c>
      <c r="Q57" s="296" t="str">
        <v>N.a.</v>
      </c>
      <c r="R57" s="296" t="str">
        <v>N.a.</v>
      </c>
      <c r="S57" s="296" t="str">
        <v>N.a.</v>
      </c>
      <c r="T57" s="300"/>
      <c r="U57" s="300"/>
      <c r="V57" s="300"/>
      <c r="W57" s="300"/>
      <c r="X57" s="300"/>
    </row>
    <row r="58" spans="3:24" hidden="1" outlineLevel="1">
      <c r="C58" s="73" t="str">
        <v>SpareOfferA14</v>
      </c>
      <c r="D58" s="123">
        <v>0</v>
      </c>
      <c r="E58" s="139"/>
      <c r="F58" s="89">
        <v>0</v>
      </c>
      <c r="G58" s="122">
        <f t="shared" si="0"/>
        <v>0</v>
      </c>
      <c r="H58" s="89">
        <v>0</v>
      </c>
      <c r="I58" s="139"/>
      <c r="J58" s="138">
        <f t="shared" si="3"/>
        <v>0</v>
      </c>
      <c r="K58" s="182" t="str">
        <f t="shared" si="1"/>
        <v>N.a.</v>
      </c>
      <c r="O58" s="295" t="str">
        <f t="shared" si="2"/>
        <v>N.a.</v>
      </c>
      <c r="P58" s="296" t="str">
        <v>N.a.</v>
      </c>
      <c r="Q58" s="296" t="str">
        <v>N.a.</v>
      </c>
      <c r="R58" s="296" t="str">
        <v>N.a.</v>
      </c>
      <c r="S58" s="296" t="str">
        <v>N.a.</v>
      </c>
      <c r="T58" s="300"/>
      <c r="U58" s="300"/>
      <c r="V58" s="300"/>
      <c r="W58" s="300"/>
      <c r="X58" s="300"/>
    </row>
    <row r="59" spans="3:24" hidden="1" outlineLevel="1">
      <c r="C59" s="73" t="str">
        <v>SpareOfferA15</v>
      </c>
      <c r="D59" s="123">
        <v>0</v>
      </c>
      <c r="E59" s="139"/>
      <c r="F59" s="89">
        <v>0</v>
      </c>
      <c r="G59" s="122">
        <f t="shared" si="0"/>
        <v>0</v>
      </c>
      <c r="H59" s="89">
        <v>0</v>
      </c>
      <c r="I59" s="139"/>
      <c r="J59" s="138">
        <f t="shared" si="3"/>
        <v>0</v>
      </c>
      <c r="K59" s="182" t="str">
        <f t="shared" si="1"/>
        <v>N.a.</v>
      </c>
      <c r="O59" s="295" t="str">
        <f t="shared" si="2"/>
        <v>N.a.</v>
      </c>
      <c r="P59" s="296" t="str">
        <v>N.a.</v>
      </c>
      <c r="Q59" s="296" t="str">
        <v>N.a.</v>
      </c>
      <c r="R59" s="296" t="str">
        <v>N.a.</v>
      </c>
      <c r="S59" s="296" t="str">
        <v>N.a.</v>
      </c>
      <c r="T59" s="300"/>
      <c r="U59" s="300"/>
      <c r="V59" s="300"/>
      <c r="W59" s="300"/>
      <c r="X59" s="300"/>
    </row>
    <row r="60" spans="3:24" hidden="1" outlineLevel="1">
      <c r="C60" s="73" t="str">
        <v>SpareOfferA16</v>
      </c>
      <c r="D60" s="123">
        <v>0</v>
      </c>
      <c r="E60" s="139"/>
      <c r="F60" s="89">
        <v>0</v>
      </c>
      <c r="G60" s="122">
        <f t="shared" si="0"/>
        <v>0</v>
      </c>
      <c r="H60" s="89">
        <v>0</v>
      </c>
      <c r="I60" s="139"/>
      <c r="J60" s="138">
        <f t="shared" si="3"/>
        <v>0</v>
      </c>
      <c r="K60" s="182" t="str">
        <f t="shared" si="1"/>
        <v>N.a.</v>
      </c>
      <c r="O60" s="295" t="str">
        <f t="shared" si="2"/>
        <v>N.a.</v>
      </c>
      <c r="P60" s="296" t="str">
        <v>N.a.</v>
      </c>
      <c r="Q60" s="296" t="str">
        <v>N.a.</v>
      </c>
      <c r="R60" s="296" t="str">
        <v>N.a.</v>
      </c>
      <c r="S60" s="296" t="str">
        <v>N.a.</v>
      </c>
      <c r="T60" s="300"/>
      <c r="U60" s="300"/>
      <c r="V60" s="300"/>
      <c r="W60" s="300"/>
      <c r="X60" s="300"/>
    </row>
    <row r="61" spans="3:24" hidden="1" outlineLevel="1">
      <c r="C61" s="73" t="str">
        <v>SpareOfferA17</v>
      </c>
      <c r="D61" s="123">
        <v>0</v>
      </c>
      <c r="E61" s="139"/>
      <c r="F61" s="89">
        <v>0</v>
      </c>
      <c r="G61" s="122">
        <f t="shared" si="0"/>
        <v>0</v>
      </c>
      <c r="H61" s="89">
        <v>0</v>
      </c>
      <c r="I61" s="139"/>
      <c r="J61" s="138">
        <f t="shared" si="3"/>
        <v>0</v>
      </c>
      <c r="K61" s="182" t="str">
        <f t="shared" si="1"/>
        <v>N.a.</v>
      </c>
      <c r="O61" s="295" t="str">
        <f t="shared" si="2"/>
        <v>N.a.</v>
      </c>
      <c r="P61" s="296" t="str">
        <v>N.a.</v>
      </c>
      <c r="Q61" s="296" t="str">
        <v>N.a.</v>
      </c>
      <c r="R61" s="296" t="str">
        <v>N.a.</v>
      </c>
      <c r="S61" s="296" t="str">
        <v>N.a.</v>
      </c>
      <c r="T61" s="300"/>
      <c r="U61" s="300"/>
      <c r="V61" s="300"/>
      <c r="W61" s="300"/>
      <c r="X61" s="300"/>
    </row>
    <row r="62" spans="3:24" hidden="1" outlineLevel="1">
      <c r="C62" s="73" t="str">
        <v>SpareOfferA18</v>
      </c>
      <c r="D62" s="123">
        <v>0</v>
      </c>
      <c r="E62" s="139"/>
      <c r="F62" s="89">
        <v>0</v>
      </c>
      <c r="G62" s="122">
        <f t="shared" si="0"/>
        <v>0</v>
      </c>
      <c r="H62" s="89">
        <v>0</v>
      </c>
      <c r="I62" s="139"/>
      <c r="J62" s="138">
        <f t="shared" si="3"/>
        <v>0</v>
      </c>
      <c r="K62" s="182" t="str">
        <f t="shared" si="1"/>
        <v>N.a.</v>
      </c>
      <c r="O62" s="295" t="str">
        <f t="shared" si="2"/>
        <v>N.a.</v>
      </c>
      <c r="P62" s="296" t="str">
        <v>N.a.</v>
      </c>
      <c r="Q62" s="296" t="str">
        <v>N.a.</v>
      </c>
      <c r="R62" s="296" t="str">
        <v>N.a.</v>
      </c>
      <c r="S62" s="296" t="str">
        <v>N.a.</v>
      </c>
      <c r="T62" s="300"/>
      <c r="U62" s="300"/>
      <c r="V62" s="300"/>
      <c r="W62" s="300"/>
      <c r="X62" s="300"/>
    </row>
    <row r="63" spans="3:24" hidden="1" outlineLevel="1">
      <c r="C63" s="73" t="str">
        <v>SpareOfferA19</v>
      </c>
      <c r="D63" s="123">
        <v>0</v>
      </c>
      <c r="E63" s="139"/>
      <c r="F63" s="89">
        <v>0</v>
      </c>
      <c r="G63" s="122">
        <f t="shared" si="0"/>
        <v>0</v>
      </c>
      <c r="H63" s="89">
        <v>0</v>
      </c>
      <c r="I63" s="139"/>
      <c r="J63" s="138">
        <f t="shared" si="3"/>
        <v>0</v>
      </c>
      <c r="K63" s="182" t="str">
        <f t="shared" si="1"/>
        <v>N.a.</v>
      </c>
      <c r="O63" s="295" t="str">
        <f t="shared" si="2"/>
        <v>N.a.</v>
      </c>
      <c r="P63" s="296" t="str">
        <v>N.a.</v>
      </c>
      <c r="Q63" s="296" t="str">
        <v>N.a.</v>
      </c>
      <c r="R63" s="296" t="str">
        <v>N.a.</v>
      </c>
      <c r="S63" s="296" t="str">
        <v>N.a.</v>
      </c>
      <c r="T63" s="300"/>
      <c r="U63" s="300"/>
      <c r="V63" s="300"/>
      <c r="W63" s="300"/>
      <c r="X63" s="300"/>
    </row>
    <row r="64" spans="3:24" hidden="1" outlineLevel="1">
      <c r="C64" s="73" t="str">
        <v>SpareOfferA20</v>
      </c>
      <c r="D64" s="123">
        <v>0</v>
      </c>
      <c r="E64" s="139"/>
      <c r="F64" s="89">
        <v>0</v>
      </c>
      <c r="G64" s="122">
        <f t="shared" si="0"/>
        <v>0</v>
      </c>
      <c r="H64" s="89">
        <v>0</v>
      </c>
      <c r="I64" s="139"/>
      <c r="J64" s="138">
        <f t="shared" si="3"/>
        <v>0</v>
      </c>
      <c r="K64" s="182" t="str">
        <f t="shared" si="1"/>
        <v>N.a.</v>
      </c>
      <c r="O64" s="295" t="str">
        <f t="shared" si="2"/>
        <v>N.a.</v>
      </c>
      <c r="P64" s="296" t="str">
        <v>N.a.</v>
      </c>
      <c r="Q64" s="296" t="str">
        <v>N.a.</v>
      </c>
      <c r="R64" s="296" t="str">
        <v>N.a.</v>
      </c>
      <c r="S64" s="296" t="str">
        <v>N.a.</v>
      </c>
      <c r="T64" s="300"/>
      <c r="U64" s="300"/>
      <c r="V64" s="300"/>
      <c r="W64" s="300"/>
      <c r="X64" s="300"/>
    </row>
    <row r="65" spans="3:24" hidden="1" outlineLevel="1">
      <c r="C65" s="73" t="str">
        <v>SpareOfferA21</v>
      </c>
      <c r="D65" s="123">
        <v>0</v>
      </c>
      <c r="E65" s="139"/>
      <c r="F65" s="89">
        <v>0</v>
      </c>
      <c r="G65" s="122">
        <f t="shared" si="0"/>
        <v>0</v>
      </c>
      <c r="H65" s="89">
        <v>0</v>
      </c>
      <c r="I65" s="139"/>
      <c r="J65" s="138">
        <f t="shared" si="3"/>
        <v>0</v>
      </c>
      <c r="K65" s="182" t="str">
        <f t="shared" si="1"/>
        <v>N.a.</v>
      </c>
      <c r="O65" s="295" t="str">
        <f t="shared" si="2"/>
        <v>N.a.</v>
      </c>
      <c r="P65" s="296" t="str">
        <v>N.a.</v>
      </c>
      <c r="Q65" s="296" t="str">
        <v>N.a.</v>
      </c>
      <c r="R65" s="296" t="str">
        <v>N.a.</v>
      </c>
      <c r="S65" s="296" t="str">
        <v>N.a.</v>
      </c>
      <c r="T65" s="300"/>
      <c r="U65" s="300"/>
      <c r="V65" s="300"/>
      <c r="W65" s="300"/>
      <c r="X65" s="300"/>
    </row>
    <row r="66" spans="3:24" hidden="1" outlineLevel="1">
      <c r="C66" s="73" t="str">
        <v>SpareOfferA22</v>
      </c>
      <c r="D66" s="123">
        <v>0</v>
      </c>
      <c r="E66" s="139"/>
      <c r="F66" s="89">
        <v>0</v>
      </c>
      <c r="G66" s="122">
        <f t="shared" si="0"/>
        <v>0</v>
      </c>
      <c r="H66" s="89">
        <v>0</v>
      </c>
      <c r="I66" s="139"/>
      <c r="J66" s="138">
        <f t="shared" si="3"/>
        <v>0</v>
      </c>
      <c r="K66" s="182" t="str">
        <f t="shared" si="1"/>
        <v>N.a.</v>
      </c>
      <c r="O66" s="295" t="str">
        <f t="shared" si="2"/>
        <v>N.a.</v>
      </c>
      <c r="P66" s="296" t="str">
        <v>N.a.</v>
      </c>
      <c r="Q66" s="296" t="str">
        <v>N.a.</v>
      </c>
      <c r="R66" s="296" t="str">
        <v>N.a.</v>
      </c>
      <c r="S66" s="296" t="str">
        <v>N.a.</v>
      </c>
      <c r="T66" s="300"/>
      <c r="U66" s="300"/>
      <c r="V66" s="300"/>
      <c r="W66" s="300"/>
      <c r="X66" s="300"/>
    </row>
    <row r="67" spans="3:24" hidden="1" outlineLevel="1">
      <c r="C67" s="73" t="str">
        <v>SpareOfferA23</v>
      </c>
      <c r="D67" s="123">
        <v>0</v>
      </c>
      <c r="E67" s="139"/>
      <c r="F67" s="89">
        <v>0</v>
      </c>
      <c r="G67" s="122">
        <f t="shared" si="0"/>
        <v>0</v>
      </c>
      <c r="H67" s="89">
        <v>0</v>
      </c>
      <c r="I67" s="139"/>
      <c r="J67" s="138">
        <f t="shared" si="3"/>
        <v>0</v>
      </c>
      <c r="K67" s="176" t="str">
        <f t="shared" si="1"/>
        <v>N.a.</v>
      </c>
      <c r="O67" s="295" t="str">
        <f t="shared" si="2"/>
        <v>N.a.</v>
      </c>
      <c r="P67" s="296" t="str">
        <v>N.a.</v>
      </c>
      <c r="Q67" s="296" t="str">
        <v>N.a.</v>
      </c>
      <c r="R67" s="296" t="str">
        <v>N.a.</v>
      </c>
      <c r="S67" s="296" t="str">
        <v>N.a.</v>
      </c>
      <c r="T67" s="300"/>
      <c r="U67" s="300"/>
      <c r="V67" s="300"/>
      <c r="W67" s="300"/>
      <c r="X67" s="300"/>
    </row>
    <row r="68" spans="3:24" hidden="1" outlineLevel="1">
      <c r="C68" s="73" t="str">
        <v>SpareOfferA24</v>
      </c>
      <c r="D68" s="123">
        <v>0</v>
      </c>
      <c r="E68" s="139"/>
      <c r="F68" s="89">
        <v>0</v>
      </c>
      <c r="G68" s="122">
        <f t="shared" si="0"/>
        <v>0</v>
      </c>
      <c r="H68" s="89">
        <v>0</v>
      </c>
      <c r="I68" s="139"/>
      <c r="J68" s="138">
        <f t="shared" si="3"/>
        <v>0</v>
      </c>
      <c r="K68" s="182" t="str">
        <f t="shared" si="1"/>
        <v>N.a.</v>
      </c>
      <c r="O68" s="295" t="str">
        <f t="shared" si="2"/>
        <v>N.a.</v>
      </c>
      <c r="P68" s="296" t="str">
        <v>N.a.</v>
      </c>
      <c r="Q68" s="296" t="str">
        <v>N.a.</v>
      </c>
      <c r="R68" s="296" t="str">
        <v>N.a.</v>
      </c>
      <c r="S68" s="296" t="str">
        <v>N.a.</v>
      </c>
      <c r="T68" s="300"/>
      <c r="U68" s="300"/>
      <c r="V68" s="300"/>
      <c r="W68" s="300"/>
      <c r="X68" s="300"/>
    </row>
    <row r="69" spans="3:24" hidden="1" outlineLevel="1">
      <c r="C69" s="73" t="str">
        <v>SpareOfferA25</v>
      </c>
      <c r="D69" s="123">
        <v>0</v>
      </c>
      <c r="E69" s="139"/>
      <c r="F69" s="89">
        <v>0</v>
      </c>
      <c r="G69" s="122">
        <f t="shared" si="0"/>
        <v>0</v>
      </c>
      <c r="H69" s="89">
        <v>0</v>
      </c>
      <c r="I69" s="139"/>
      <c r="J69" s="138">
        <f t="shared" si="3"/>
        <v>0</v>
      </c>
      <c r="K69" s="182" t="str">
        <f t="shared" si="1"/>
        <v>N.a.</v>
      </c>
      <c r="O69" s="295" t="str">
        <f t="shared" si="2"/>
        <v>N.a.</v>
      </c>
      <c r="P69" s="296" t="str">
        <v>N.a.</v>
      </c>
      <c r="Q69" s="296" t="str">
        <v>N.a.</v>
      </c>
      <c r="R69" s="296" t="str">
        <v>N.a.</v>
      </c>
      <c r="S69" s="296" t="str">
        <v>N.a.</v>
      </c>
      <c r="T69" s="300"/>
      <c r="U69" s="300"/>
      <c r="V69" s="300"/>
      <c r="W69" s="300"/>
      <c r="X69" s="300"/>
    </row>
    <row r="70" spans="3:24" hidden="1" outlineLevel="1">
      <c r="C70" s="73" t="str">
        <v>SpareOfferA26</v>
      </c>
      <c r="D70" s="123">
        <v>0</v>
      </c>
      <c r="E70" s="139"/>
      <c r="F70" s="89">
        <v>0</v>
      </c>
      <c r="G70" s="122">
        <f t="shared" si="0"/>
        <v>0</v>
      </c>
      <c r="H70" s="89">
        <v>0</v>
      </c>
      <c r="I70" s="139"/>
      <c r="J70" s="138">
        <f t="shared" si="3"/>
        <v>0</v>
      </c>
      <c r="K70" s="182" t="str">
        <f t="shared" si="1"/>
        <v>N.a.</v>
      </c>
      <c r="O70" s="295" t="str">
        <f t="shared" si="2"/>
        <v>N.a.</v>
      </c>
      <c r="P70" s="296" t="str">
        <v>N.a.</v>
      </c>
      <c r="Q70" s="296" t="str">
        <v>N.a.</v>
      </c>
      <c r="R70" s="296" t="str">
        <v>N.a.</v>
      </c>
      <c r="S70" s="296" t="str">
        <v>N.a.</v>
      </c>
      <c r="T70" s="300"/>
      <c r="U70" s="300"/>
      <c r="V70" s="300"/>
      <c r="W70" s="300"/>
      <c r="X70" s="300"/>
    </row>
    <row r="71" spans="3:24" hidden="1" outlineLevel="1">
      <c r="C71" s="73" t="str">
        <v>SpareOfferA27</v>
      </c>
      <c r="D71" s="123">
        <v>0</v>
      </c>
      <c r="E71" s="139"/>
      <c r="F71" s="89">
        <v>0</v>
      </c>
      <c r="G71" s="122">
        <f t="shared" si="0"/>
        <v>0</v>
      </c>
      <c r="H71" s="89">
        <v>0</v>
      </c>
      <c r="I71" s="139"/>
      <c r="J71" s="138">
        <f t="shared" si="3"/>
        <v>0</v>
      </c>
      <c r="K71" s="182" t="str">
        <f t="shared" si="1"/>
        <v>N.a.</v>
      </c>
      <c r="O71" s="295" t="str">
        <f t="shared" si="2"/>
        <v>N.a.</v>
      </c>
      <c r="P71" s="296" t="str">
        <v>N.a.</v>
      </c>
      <c r="Q71" s="296" t="str">
        <v>N.a.</v>
      </c>
      <c r="R71" s="296" t="str">
        <v>N.a.</v>
      </c>
      <c r="S71" s="296" t="str">
        <v>N.a.</v>
      </c>
      <c r="T71" s="300"/>
      <c r="U71" s="300"/>
      <c r="V71" s="300"/>
      <c r="W71" s="300"/>
      <c r="X71" s="300"/>
    </row>
    <row r="72" spans="3:24" hidden="1" outlineLevel="1">
      <c r="C72" s="73" t="str">
        <v>SpareOfferA28</v>
      </c>
      <c r="D72" s="123">
        <v>0</v>
      </c>
      <c r="E72" s="139"/>
      <c r="F72" s="89">
        <v>0</v>
      </c>
      <c r="G72" s="122">
        <f t="shared" si="0"/>
        <v>0</v>
      </c>
      <c r="H72" s="89">
        <v>0</v>
      </c>
      <c r="I72" s="139"/>
      <c r="J72" s="138">
        <f t="shared" si="3"/>
        <v>0</v>
      </c>
      <c r="K72" s="182" t="str">
        <f t="shared" si="1"/>
        <v>N.a.</v>
      </c>
      <c r="M72" s="309"/>
      <c r="O72" s="295" t="str">
        <f t="shared" si="2"/>
        <v>N.a.</v>
      </c>
      <c r="P72" s="296" t="str">
        <v>N.a.</v>
      </c>
      <c r="Q72" s="296" t="str">
        <v>N.a.</v>
      </c>
      <c r="R72" s="296" t="str">
        <v>N.a.</v>
      </c>
      <c r="S72" s="296" t="str">
        <v>N.a.</v>
      </c>
      <c r="T72" s="300"/>
      <c r="U72" s="300"/>
      <c r="V72" s="300"/>
      <c r="W72" s="300"/>
      <c r="X72" s="300"/>
    </row>
    <row r="73" spans="3:24" hidden="1" outlineLevel="1">
      <c r="C73" s="73" t="str">
        <v>SpareOfferA29</v>
      </c>
      <c r="D73" s="123">
        <v>0</v>
      </c>
      <c r="E73" s="139"/>
      <c r="F73" s="89">
        <v>0</v>
      </c>
      <c r="G73" s="122">
        <f t="shared" si="0"/>
        <v>0</v>
      </c>
      <c r="H73" s="89">
        <v>0</v>
      </c>
      <c r="I73" s="139"/>
      <c r="J73" s="138">
        <f t="shared" si="3"/>
        <v>0</v>
      </c>
      <c r="K73" s="182" t="str">
        <f t="shared" si="1"/>
        <v>N.a.</v>
      </c>
      <c r="O73" s="295" t="str">
        <f t="shared" si="2"/>
        <v>N.a.</v>
      </c>
      <c r="P73" s="296" t="str">
        <v>N.a.</v>
      </c>
      <c r="Q73" s="296" t="str">
        <v>N.a.</v>
      </c>
      <c r="R73" s="296" t="str">
        <v>N.a.</v>
      </c>
      <c r="S73" s="296" t="str">
        <v>N.a.</v>
      </c>
      <c r="T73" s="300"/>
      <c r="U73" s="300"/>
      <c r="V73" s="300"/>
      <c r="W73" s="300"/>
      <c r="X73" s="300"/>
    </row>
    <row r="74" spans="3:24" hidden="1" outlineLevel="1">
      <c r="C74" s="73" t="str">
        <v>SpareOfferA30</v>
      </c>
      <c r="D74" s="123">
        <v>0</v>
      </c>
      <c r="E74" s="139"/>
      <c r="F74" s="89">
        <v>0</v>
      </c>
      <c r="G74" s="122">
        <f t="shared" si="0"/>
        <v>0</v>
      </c>
      <c r="H74" s="89">
        <v>0</v>
      </c>
      <c r="I74" s="139"/>
      <c r="J74" s="138">
        <f t="shared" si="3"/>
        <v>0</v>
      </c>
      <c r="K74" s="182" t="str">
        <f t="shared" si="1"/>
        <v>N.a.</v>
      </c>
      <c r="O74" s="295" t="str">
        <f t="shared" si="2"/>
        <v>N.a.</v>
      </c>
      <c r="P74" s="296" t="str">
        <v>N.a.</v>
      </c>
      <c r="Q74" s="296" t="str">
        <v>N.a.</v>
      </c>
      <c r="R74" s="296" t="str">
        <v>N.a.</v>
      </c>
      <c r="S74" s="296" t="str">
        <v>N.a.</v>
      </c>
    </row>
    <row r="75" spans="3:24" hidden="1" outlineLevel="1">
      <c r="C75" s="73" t="str">
        <v>SpareOfferA31</v>
      </c>
      <c r="D75" s="123">
        <v>0</v>
      </c>
      <c r="E75" s="139"/>
      <c r="F75" s="89">
        <v>0</v>
      </c>
      <c r="G75" s="122">
        <f t="shared" si="0"/>
        <v>0</v>
      </c>
      <c r="H75" s="89">
        <v>0</v>
      </c>
      <c r="I75" s="139"/>
      <c r="J75" s="138">
        <f t="shared" si="3"/>
        <v>0</v>
      </c>
      <c r="K75" s="182" t="str">
        <f t="shared" si="1"/>
        <v>N.a.</v>
      </c>
      <c r="O75" s="295" t="str">
        <f t="shared" si="2"/>
        <v>N.a.</v>
      </c>
      <c r="P75" s="296" t="str">
        <v>N.a.</v>
      </c>
      <c r="Q75" s="296" t="str">
        <v>N.a.</v>
      </c>
      <c r="R75" s="296" t="str">
        <v>N.a.</v>
      </c>
      <c r="S75" s="296" t="str">
        <v>N.a.</v>
      </c>
    </row>
    <row r="76" spans="3:24" hidden="1" outlineLevel="1">
      <c r="C76" s="73" t="str">
        <v>SpareOfferA32</v>
      </c>
      <c r="D76" s="123">
        <v>0</v>
      </c>
      <c r="E76" s="139"/>
      <c r="F76" s="89">
        <v>0</v>
      </c>
      <c r="G76" s="122">
        <f t="shared" si="0"/>
        <v>0</v>
      </c>
      <c r="H76" s="89">
        <v>0</v>
      </c>
      <c r="I76" s="139"/>
      <c r="J76" s="138">
        <f t="shared" si="3"/>
        <v>0</v>
      </c>
      <c r="K76" s="182" t="str">
        <f t="shared" si="1"/>
        <v>N.a.</v>
      </c>
      <c r="O76" s="295" t="str">
        <f t="shared" si="2"/>
        <v>N.a.</v>
      </c>
      <c r="P76" s="296" t="str">
        <v>N.a.</v>
      </c>
      <c r="Q76" s="296" t="str">
        <v>N.a.</v>
      </c>
      <c r="R76" s="296" t="str">
        <v>N.a.</v>
      </c>
      <c r="S76" s="296" t="str">
        <v>N.a.</v>
      </c>
    </row>
    <row r="77" spans="3:24" hidden="1" outlineLevel="1">
      <c r="C77" s="73" t="str">
        <v>SpareOfferA33</v>
      </c>
      <c r="D77" s="123">
        <v>0</v>
      </c>
      <c r="E77" s="139"/>
      <c r="F77" s="89">
        <v>0</v>
      </c>
      <c r="G77" s="122">
        <f t="shared" si="0"/>
        <v>0</v>
      </c>
      <c r="H77" s="89">
        <v>0</v>
      </c>
      <c r="I77" s="139"/>
      <c r="J77" s="138">
        <f t="shared" si="3"/>
        <v>0</v>
      </c>
      <c r="K77" s="182" t="str">
        <f t="shared" si="1"/>
        <v>N.a.</v>
      </c>
      <c r="O77" s="295" t="str">
        <f t="shared" si="2"/>
        <v>N.a.</v>
      </c>
      <c r="P77" s="296" t="str">
        <v>N.a.</v>
      </c>
      <c r="Q77" s="296" t="str">
        <v>N.a.</v>
      </c>
      <c r="R77" s="296" t="str">
        <v>N.a.</v>
      </c>
      <c r="S77" s="296" t="str">
        <v>N.a.</v>
      </c>
    </row>
    <row r="78" spans="3:24" hidden="1" outlineLevel="1">
      <c r="C78" s="73" t="str">
        <v>SpareOfferA34</v>
      </c>
      <c r="D78" s="123">
        <v>0</v>
      </c>
      <c r="E78" s="139"/>
      <c r="F78" s="89">
        <v>0</v>
      </c>
      <c r="G78" s="122">
        <f t="shared" si="0"/>
        <v>0</v>
      </c>
      <c r="H78" s="89">
        <v>0</v>
      </c>
      <c r="I78" s="139"/>
      <c r="J78" s="138">
        <f t="shared" si="3"/>
        <v>0</v>
      </c>
      <c r="K78" s="182" t="str">
        <f t="shared" si="1"/>
        <v>N.a.</v>
      </c>
      <c r="O78" s="295" t="str">
        <f t="shared" si="2"/>
        <v>N.a.</v>
      </c>
      <c r="P78" s="296" t="str">
        <v>N.a.</v>
      </c>
      <c r="Q78" s="296" t="str">
        <v>N.a.</v>
      </c>
      <c r="R78" s="296" t="str">
        <v>N.a.</v>
      </c>
      <c r="S78" s="296" t="str">
        <v>N.a.</v>
      </c>
    </row>
    <row r="79" spans="3:24" collapsed="1">
      <c r="C79" s="73" t="str">
        <v>SpareOfferA35</v>
      </c>
      <c r="D79" s="123">
        <v>0</v>
      </c>
      <c r="E79" s="139"/>
      <c r="F79" s="89">
        <v>0</v>
      </c>
      <c r="G79" s="122">
        <f t="shared" si="0"/>
        <v>0</v>
      </c>
      <c r="H79" s="89">
        <v>0</v>
      </c>
      <c r="I79" s="139"/>
      <c r="J79" s="138">
        <f t="shared" si="3"/>
        <v>0</v>
      </c>
      <c r="K79" s="182" t="str">
        <f t="shared" si="1"/>
        <v>N.a.</v>
      </c>
      <c r="O79" s="295" t="str">
        <f t="shared" si="2"/>
        <v>N.a.</v>
      </c>
      <c r="P79" s="296" t="str">
        <v>N.a.</v>
      </c>
      <c r="Q79" s="296" t="str">
        <v>N.a.</v>
      </c>
      <c r="R79" s="296" t="str">
        <v>N.a.</v>
      </c>
      <c r="S79" s="296" t="str">
        <v>N.a.</v>
      </c>
    </row>
    <row r="80" spans="3:24">
      <c r="O80" s="269" t="str">
        <f>space</f>
        <v xml:space="preserve"> </v>
      </c>
      <c r="P80" s="269" t="str">
        <v xml:space="preserve"> </v>
      </c>
      <c r="Q80" s="269" t="str">
        <v xml:space="preserve"> </v>
      </c>
      <c r="R80" s="269" t="str">
        <v xml:space="preserve"> </v>
      </c>
      <c r="S80" s="269" t="str">
        <v xml:space="preserve"> </v>
      </c>
    </row>
    <row r="81" spans="1:24" s="207" customFormat="1">
      <c r="A81" s="207">
        <v>2</v>
      </c>
      <c r="B81" s="207" t="str">
        <f>INDEX(segments,A81)</f>
        <v>Business</v>
      </c>
      <c r="O81" s="207" t="str">
        <f>space</f>
        <v xml:space="preserve"> </v>
      </c>
      <c r="P81" s="207" t="str">
        <v xml:space="preserve"> </v>
      </c>
      <c r="Q81" s="207" t="str">
        <v xml:space="preserve"> </v>
      </c>
      <c r="R81" s="207" t="str">
        <v xml:space="preserve"> </v>
      </c>
      <c r="S81" s="207" t="str">
        <v xml:space="preserve"> </v>
      </c>
    </row>
    <row r="82" spans="1:24">
      <c r="O82" s="269" t="str">
        <f>space</f>
        <v xml:space="preserve"> </v>
      </c>
      <c r="P82" s="269" t="str">
        <v xml:space="preserve"> </v>
      </c>
      <c r="Q82" s="269" t="str">
        <v xml:space="preserve"> </v>
      </c>
      <c r="R82" s="269" t="str">
        <v xml:space="preserve"> </v>
      </c>
      <c r="S82" s="269" t="str">
        <v xml:space="preserve"> </v>
      </c>
    </row>
    <row r="83" spans="1:24" ht="23">
      <c r="C83" s="1" t="s">
        <v>262</v>
      </c>
      <c r="D83" s="1" t="s">
        <v>169</v>
      </c>
      <c r="E83" s="1" t="s">
        <v>387</v>
      </c>
      <c r="F83" s="1" t="s">
        <v>173</v>
      </c>
      <c r="G83" s="1" t="s">
        <v>319</v>
      </c>
      <c r="H83" s="1" t="s">
        <v>219</v>
      </c>
      <c r="I83" s="1" t="s">
        <v>172</v>
      </c>
      <c r="J83" s="1" t="s">
        <v>199</v>
      </c>
      <c r="K83" s="1" t="s">
        <v>263</v>
      </c>
      <c r="M83" s="1" t="s">
        <v>667</v>
      </c>
      <c r="O83" s="269" t="str">
        <f>space</f>
        <v xml:space="preserve"> </v>
      </c>
      <c r="P83" s="269" t="str">
        <v xml:space="preserve"> </v>
      </c>
      <c r="Q83" s="269" t="str">
        <v xml:space="preserve"> </v>
      </c>
      <c r="R83" s="269" t="str">
        <v xml:space="preserve"> </v>
      </c>
      <c r="S83" s="269" t="str">
        <v xml:space="preserve"> </v>
      </c>
    </row>
    <row r="84" spans="1:24">
      <c r="C84" t="s">
        <v>7</v>
      </c>
      <c r="D84" s="89">
        <f>output.revenue.segment.2</f>
        <v>0</v>
      </c>
      <c r="E84" s="89">
        <f>output.additional.revenue.segment.2</f>
        <v>0</v>
      </c>
      <c r="F84" s="89">
        <f>-output.wholesale.costs.segment.2</f>
        <v>0</v>
      </c>
      <c r="G84" s="137">
        <f>-output.fixed.ws.segment.2</f>
        <v>0</v>
      </c>
      <c r="H84" s="89">
        <f>-output.interconnection.costs.segment.2</f>
        <v>0</v>
      </c>
      <c r="I84" s="89">
        <f>-output.retail.costs.segment.2</f>
        <v>0</v>
      </c>
      <c r="J84" s="138">
        <f>SUM(D84:I84)</f>
        <v>0</v>
      </c>
      <c r="K84" s="176" t="str">
        <f>IF((D84+E84)=0,label.not.applicable,J84/(D84+E84))</f>
        <v>N.a.</v>
      </c>
      <c r="L84" s="82"/>
      <c r="M84" s="223">
        <f>output.average.cost.per.MB.segment.2</f>
        <v>0</v>
      </c>
      <c r="O84" s="295" t="str">
        <f>K84</f>
        <v>N.a.</v>
      </c>
      <c r="P84" s="296" t="str">
        <v>N.a.</v>
      </c>
      <c r="Q84" s="296" t="str">
        <v>N.a.</v>
      </c>
      <c r="R84" s="296" t="str">
        <v>N.a.</v>
      </c>
      <c r="S84" s="296" t="str">
        <v>N.a.</v>
      </c>
      <c r="T84" s="300"/>
      <c r="U84" s="300"/>
      <c r="V84" s="300"/>
      <c r="W84" s="300"/>
      <c r="X84" s="300"/>
    </row>
    <row r="85" spans="1:24">
      <c r="O85" s="269" t="str">
        <f>space</f>
        <v xml:space="preserve"> </v>
      </c>
      <c r="P85" s="269" t="str">
        <v xml:space="preserve"> </v>
      </c>
      <c r="Q85" s="269" t="str">
        <v xml:space="preserve"> </v>
      </c>
      <c r="R85" s="269" t="str">
        <v xml:space="preserve"> </v>
      </c>
      <c r="S85" s="269" t="str">
        <v xml:space="preserve"> </v>
      </c>
      <c r="T85" s="269"/>
      <c r="U85" s="269"/>
      <c r="V85" s="269"/>
      <c r="W85" s="269"/>
      <c r="X85" s="269"/>
    </row>
    <row r="86" spans="1:24" ht="23">
      <c r="C86" s="1" t="s">
        <v>150</v>
      </c>
      <c r="D86" s="1" t="s">
        <v>169</v>
      </c>
      <c r="E86" s="1" t="s">
        <v>387</v>
      </c>
      <c r="F86" s="1" t="s">
        <v>173</v>
      </c>
      <c r="G86" s="1" t="s">
        <v>319</v>
      </c>
      <c r="H86" s="1" t="s">
        <v>219</v>
      </c>
      <c r="I86" s="1" t="s">
        <v>172</v>
      </c>
      <c r="J86" s="1" t="s">
        <v>199</v>
      </c>
      <c r="K86" s="1" t="s">
        <v>149</v>
      </c>
      <c r="O86" s="269" t="str">
        <f>space</f>
        <v xml:space="preserve"> </v>
      </c>
      <c r="P86" s="269" t="str">
        <v xml:space="preserve"> </v>
      </c>
      <c r="Q86" s="269" t="str">
        <v xml:space="preserve"> </v>
      </c>
      <c r="R86" s="269" t="str">
        <v xml:space="preserve"> </v>
      </c>
      <c r="S86" s="269" t="str">
        <v xml:space="preserve"> </v>
      </c>
      <c r="T86" s="269"/>
      <c r="U86" s="269"/>
      <c r="V86" s="269"/>
      <c r="W86" s="269"/>
      <c r="X86" s="269"/>
    </row>
    <row r="87" spans="1:24">
      <c r="C87" s="73" t="str">
        <f t="array" ref="C87:C121">offers.segment.2</f>
        <v>SpareOfferB1</v>
      </c>
      <c r="D87" s="123">
        <f t="array" ref="D87:D121">output.revenue.segment.2.offers</f>
        <v>0</v>
      </c>
      <c r="E87" s="139"/>
      <c r="F87" s="89">
        <f t="array" ref="F87:F121">-output.wholesale.costs.segment.2.offers</f>
        <v>0</v>
      </c>
      <c r="G87" s="122">
        <f t="shared" ref="G87:G121" si="4">IF($F$84=0, 0, IF(wholesale.offer.type.selected=lbl.SP,(F87+H87)/($F$84+$H$84)*$G$84,F87/$F$84*$G$84))</f>
        <v>0</v>
      </c>
      <c r="H87" s="89">
        <f t="array" ref="H87:H121">-output.interconnection.costs.segment.2.offers</f>
        <v>0</v>
      </c>
      <c r="I87" s="139"/>
      <c r="J87" s="138">
        <f>SUM(D87:I87)</f>
        <v>0</v>
      </c>
      <c r="K87" s="182" t="str">
        <f t="shared" ref="K87:K121" si="5">IF((D87+E87)=0,label.not.applicable,J87/(D87+E87))</f>
        <v>N.a.</v>
      </c>
      <c r="O87" s="295" t="str">
        <f t="shared" ref="O87:O121" si="6">K87</f>
        <v>N.a.</v>
      </c>
      <c r="P87" s="296" t="str">
        <v>N.a.</v>
      </c>
      <c r="Q87" s="296" t="str">
        <v>N.a.</v>
      </c>
      <c r="R87" s="296" t="str">
        <v>N.a.</v>
      </c>
      <c r="S87" s="296" t="str">
        <v>N.a.</v>
      </c>
      <c r="T87" s="300"/>
      <c r="U87" s="300"/>
      <c r="V87" s="300"/>
      <c r="W87" s="300"/>
      <c r="X87" s="300"/>
    </row>
    <row r="88" spans="1:24" hidden="1" outlineLevel="1">
      <c r="C88" s="73" t="str">
        <v>SpareOfferB2</v>
      </c>
      <c r="D88" s="123">
        <v>0</v>
      </c>
      <c r="E88" s="139"/>
      <c r="F88" s="89">
        <v>0</v>
      </c>
      <c r="G88" s="122">
        <f t="shared" si="4"/>
        <v>0</v>
      </c>
      <c r="H88" s="89">
        <v>0</v>
      </c>
      <c r="I88" s="139"/>
      <c r="J88" s="138">
        <f t="shared" ref="J88:J121" si="7">SUM(D88:I88)</f>
        <v>0</v>
      </c>
      <c r="K88" s="182" t="str">
        <f t="shared" si="5"/>
        <v>N.a.</v>
      </c>
      <c r="O88" s="295" t="str">
        <f t="shared" si="6"/>
        <v>N.a.</v>
      </c>
      <c r="P88" s="296" t="str">
        <v>N.a.</v>
      </c>
      <c r="Q88" s="296" t="str">
        <v>N.a.</v>
      </c>
      <c r="R88" s="296" t="str">
        <v>N.a.</v>
      </c>
      <c r="S88" s="296" t="str">
        <v>N.a.</v>
      </c>
      <c r="T88" s="300"/>
      <c r="U88" s="300"/>
      <c r="V88" s="300"/>
      <c r="W88" s="300"/>
      <c r="X88" s="300"/>
    </row>
    <row r="89" spans="1:24" hidden="1" outlineLevel="1">
      <c r="C89" s="73" t="str">
        <v>SpareOfferB3</v>
      </c>
      <c r="D89" s="123">
        <v>0</v>
      </c>
      <c r="E89" s="139"/>
      <c r="F89" s="89">
        <v>0</v>
      </c>
      <c r="G89" s="122">
        <f t="shared" si="4"/>
        <v>0</v>
      </c>
      <c r="H89" s="89">
        <v>0</v>
      </c>
      <c r="I89" s="139"/>
      <c r="J89" s="138">
        <f t="shared" si="7"/>
        <v>0</v>
      </c>
      <c r="K89" s="182" t="str">
        <f t="shared" si="5"/>
        <v>N.a.</v>
      </c>
      <c r="O89" s="295" t="str">
        <f t="shared" si="6"/>
        <v>N.a.</v>
      </c>
      <c r="P89" s="296" t="str">
        <v>N.a.</v>
      </c>
      <c r="Q89" s="296" t="str">
        <v>N.a.</v>
      </c>
      <c r="R89" s="296" t="str">
        <v>N.a.</v>
      </c>
      <c r="S89" s="296" t="str">
        <v>N.a.</v>
      </c>
      <c r="T89" s="300"/>
      <c r="U89" s="300"/>
      <c r="V89" s="300"/>
      <c r="W89" s="300"/>
      <c r="X89" s="300"/>
    </row>
    <row r="90" spans="1:24" hidden="1" outlineLevel="1">
      <c r="C90" s="73" t="str">
        <v>SpareOfferB4</v>
      </c>
      <c r="D90" s="123">
        <v>0</v>
      </c>
      <c r="E90" s="139"/>
      <c r="F90" s="89">
        <v>0</v>
      </c>
      <c r="G90" s="122">
        <f t="shared" si="4"/>
        <v>0</v>
      </c>
      <c r="H90" s="89">
        <v>0</v>
      </c>
      <c r="I90" s="139"/>
      <c r="J90" s="138">
        <f t="shared" si="7"/>
        <v>0</v>
      </c>
      <c r="K90" s="182" t="str">
        <f t="shared" si="5"/>
        <v>N.a.</v>
      </c>
      <c r="O90" s="295" t="str">
        <f t="shared" si="6"/>
        <v>N.a.</v>
      </c>
      <c r="P90" s="296" t="str">
        <v>N.a.</v>
      </c>
      <c r="Q90" s="296" t="str">
        <v>N.a.</v>
      </c>
      <c r="R90" s="296" t="str">
        <v>N.a.</v>
      </c>
      <c r="S90" s="296" t="str">
        <v>N.a.</v>
      </c>
      <c r="T90" s="300"/>
      <c r="U90" s="300"/>
      <c r="V90" s="300"/>
      <c r="W90" s="300"/>
      <c r="X90" s="300"/>
    </row>
    <row r="91" spans="1:24" hidden="1" outlineLevel="1">
      <c r="C91" s="73" t="str">
        <v>SpareOfferB5</v>
      </c>
      <c r="D91" s="123">
        <v>0</v>
      </c>
      <c r="E91" s="139"/>
      <c r="F91" s="89">
        <v>0</v>
      </c>
      <c r="G91" s="122">
        <f t="shared" si="4"/>
        <v>0</v>
      </c>
      <c r="H91" s="89">
        <v>0</v>
      </c>
      <c r="I91" s="139"/>
      <c r="J91" s="138">
        <f t="shared" si="7"/>
        <v>0</v>
      </c>
      <c r="K91" s="182" t="str">
        <f t="shared" si="5"/>
        <v>N.a.</v>
      </c>
      <c r="O91" s="295" t="str">
        <f t="shared" si="6"/>
        <v>N.a.</v>
      </c>
      <c r="P91" s="296" t="str">
        <v>N.a.</v>
      </c>
      <c r="Q91" s="296" t="str">
        <v>N.a.</v>
      </c>
      <c r="R91" s="296" t="str">
        <v>N.a.</v>
      </c>
      <c r="S91" s="296" t="str">
        <v>N.a.</v>
      </c>
      <c r="T91" s="300"/>
      <c r="U91" s="300"/>
      <c r="V91" s="300"/>
      <c r="W91" s="300"/>
      <c r="X91" s="300"/>
    </row>
    <row r="92" spans="1:24" hidden="1" outlineLevel="1">
      <c r="C92" s="73" t="str">
        <v>SpareOfferB6</v>
      </c>
      <c r="D92" s="123">
        <v>0</v>
      </c>
      <c r="E92" s="139"/>
      <c r="F92" s="89">
        <v>0</v>
      </c>
      <c r="G92" s="122">
        <f t="shared" si="4"/>
        <v>0</v>
      </c>
      <c r="H92" s="89">
        <v>0</v>
      </c>
      <c r="I92" s="139"/>
      <c r="J92" s="138">
        <f t="shared" si="7"/>
        <v>0</v>
      </c>
      <c r="K92" s="182" t="str">
        <f t="shared" si="5"/>
        <v>N.a.</v>
      </c>
      <c r="O92" s="295" t="str">
        <f t="shared" si="6"/>
        <v>N.a.</v>
      </c>
      <c r="P92" s="296" t="str">
        <v>N.a.</v>
      </c>
      <c r="Q92" s="296" t="str">
        <v>N.a.</v>
      </c>
      <c r="R92" s="296" t="str">
        <v>N.a.</v>
      </c>
      <c r="S92" s="296" t="str">
        <v>N.a.</v>
      </c>
      <c r="T92" s="300"/>
      <c r="U92" s="300"/>
      <c r="V92" s="300"/>
      <c r="W92" s="300"/>
      <c r="X92" s="300"/>
    </row>
    <row r="93" spans="1:24" hidden="1" outlineLevel="1">
      <c r="C93" s="73" t="str">
        <v>SpareOfferB7</v>
      </c>
      <c r="D93" s="123">
        <v>0</v>
      </c>
      <c r="E93" s="139"/>
      <c r="F93" s="89">
        <v>0</v>
      </c>
      <c r="G93" s="122">
        <f t="shared" si="4"/>
        <v>0</v>
      </c>
      <c r="H93" s="89">
        <v>0</v>
      </c>
      <c r="I93" s="139"/>
      <c r="J93" s="138">
        <f t="shared" si="7"/>
        <v>0</v>
      </c>
      <c r="K93" s="182" t="str">
        <f t="shared" si="5"/>
        <v>N.a.</v>
      </c>
      <c r="O93" s="295" t="str">
        <f t="shared" si="6"/>
        <v>N.a.</v>
      </c>
      <c r="P93" s="296" t="str">
        <v>N.a.</v>
      </c>
      <c r="Q93" s="296" t="str">
        <v>N.a.</v>
      </c>
      <c r="R93" s="296" t="str">
        <v>N.a.</v>
      </c>
      <c r="S93" s="296" t="str">
        <v>N.a.</v>
      </c>
      <c r="T93" s="300"/>
      <c r="U93" s="300"/>
      <c r="V93" s="300"/>
      <c r="W93" s="300"/>
      <c r="X93" s="300"/>
    </row>
    <row r="94" spans="1:24" hidden="1" outlineLevel="1">
      <c r="C94" s="73" t="str">
        <v>SpareOfferB8</v>
      </c>
      <c r="D94" s="123">
        <v>0</v>
      </c>
      <c r="E94" s="139"/>
      <c r="F94" s="89">
        <v>0</v>
      </c>
      <c r="G94" s="122">
        <f t="shared" si="4"/>
        <v>0</v>
      </c>
      <c r="H94" s="89">
        <v>0</v>
      </c>
      <c r="I94" s="139"/>
      <c r="J94" s="138">
        <f t="shared" si="7"/>
        <v>0</v>
      </c>
      <c r="K94" s="182" t="str">
        <f t="shared" si="5"/>
        <v>N.a.</v>
      </c>
      <c r="O94" s="295" t="str">
        <f t="shared" si="6"/>
        <v>N.a.</v>
      </c>
      <c r="P94" s="296" t="str">
        <v>N.a.</v>
      </c>
      <c r="Q94" s="296" t="str">
        <v>N.a.</v>
      </c>
      <c r="R94" s="296" t="str">
        <v>N.a.</v>
      </c>
      <c r="S94" s="296" t="str">
        <v>N.a.</v>
      </c>
      <c r="T94" s="300"/>
      <c r="U94" s="300"/>
      <c r="V94" s="300"/>
      <c r="W94" s="300"/>
      <c r="X94" s="300"/>
    </row>
    <row r="95" spans="1:24" hidden="1" outlineLevel="1">
      <c r="C95" s="73" t="str">
        <v>SpareOfferB9</v>
      </c>
      <c r="D95" s="123">
        <v>0</v>
      </c>
      <c r="E95" s="139"/>
      <c r="F95" s="89">
        <v>0</v>
      </c>
      <c r="G95" s="122">
        <f t="shared" si="4"/>
        <v>0</v>
      </c>
      <c r="H95" s="89">
        <v>0</v>
      </c>
      <c r="I95" s="139"/>
      <c r="J95" s="138">
        <f t="shared" si="7"/>
        <v>0</v>
      </c>
      <c r="K95" s="182" t="str">
        <f t="shared" si="5"/>
        <v>N.a.</v>
      </c>
      <c r="O95" s="295" t="str">
        <f t="shared" si="6"/>
        <v>N.a.</v>
      </c>
      <c r="P95" s="296" t="str">
        <v>N.a.</v>
      </c>
      <c r="Q95" s="296" t="str">
        <v>N.a.</v>
      </c>
      <c r="R95" s="296" t="str">
        <v>N.a.</v>
      </c>
      <c r="S95" s="296" t="str">
        <v>N.a.</v>
      </c>
      <c r="T95" s="300"/>
      <c r="U95" s="300"/>
      <c r="V95" s="300"/>
      <c r="W95" s="300"/>
      <c r="X95" s="300"/>
    </row>
    <row r="96" spans="1:24" hidden="1" outlineLevel="1">
      <c r="C96" s="73" t="str">
        <v>SpareOfferB10</v>
      </c>
      <c r="D96" s="123">
        <v>0</v>
      </c>
      <c r="E96" s="139"/>
      <c r="F96" s="89">
        <v>0</v>
      </c>
      <c r="G96" s="122">
        <f t="shared" si="4"/>
        <v>0</v>
      </c>
      <c r="H96" s="89">
        <v>0</v>
      </c>
      <c r="I96" s="139"/>
      <c r="J96" s="138">
        <f t="shared" si="7"/>
        <v>0</v>
      </c>
      <c r="K96" s="182" t="str">
        <f t="shared" si="5"/>
        <v>N.a.</v>
      </c>
      <c r="O96" s="295" t="str">
        <f t="shared" si="6"/>
        <v>N.a.</v>
      </c>
      <c r="P96" s="296" t="str">
        <v>N.a.</v>
      </c>
      <c r="Q96" s="296" t="str">
        <v>N.a.</v>
      </c>
      <c r="R96" s="296" t="str">
        <v>N.a.</v>
      </c>
      <c r="S96" s="296" t="str">
        <v>N.a.</v>
      </c>
      <c r="T96" s="300"/>
      <c r="U96" s="300"/>
      <c r="V96" s="300"/>
      <c r="W96" s="300"/>
      <c r="X96" s="300"/>
    </row>
    <row r="97" spans="3:24" hidden="1" outlineLevel="1">
      <c r="C97" s="73" t="str">
        <v>SpareOfferB11</v>
      </c>
      <c r="D97" s="123">
        <v>0</v>
      </c>
      <c r="E97" s="139"/>
      <c r="F97" s="89">
        <v>0</v>
      </c>
      <c r="G97" s="122">
        <f t="shared" si="4"/>
        <v>0</v>
      </c>
      <c r="H97" s="89">
        <v>0</v>
      </c>
      <c r="I97" s="139"/>
      <c r="J97" s="138">
        <f t="shared" si="7"/>
        <v>0</v>
      </c>
      <c r="K97" s="182" t="str">
        <f t="shared" si="5"/>
        <v>N.a.</v>
      </c>
      <c r="O97" s="295" t="str">
        <f t="shared" si="6"/>
        <v>N.a.</v>
      </c>
      <c r="P97" s="296" t="str">
        <v>N.a.</v>
      </c>
      <c r="Q97" s="296" t="str">
        <v>N.a.</v>
      </c>
      <c r="R97" s="296" t="str">
        <v>N.a.</v>
      </c>
      <c r="S97" s="296" t="str">
        <v>N.a.</v>
      </c>
      <c r="T97" s="300"/>
      <c r="U97" s="300"/>
      <c r="V97" s="300"/>
      <c r="W97" s="300"/>
      <c r="X97" s="300"/>
    </row>
    <row r="98" spans="3:24" hidden="1" outlineLevel="1">
      <c r="C98" s="73" t="str">
        <v>SpareOfferB12</v>
      </c>
      <c r="D98" s="123">
        <v>0</v>
      </c>
      <c r="E98" s="139"/>
      <c r="F98" s="89">
        <v>0</v>
      </c>
      <c r="G98" s="122">
        <f t="shared" si="4"/>
        <v>0</v>
      </c>
      <c r="H98" s="89">
        <v>0</v>
      </c>
      <c r="I98" s="139"/>
      <c r="J98" s="138">
        <f t="shared" si="7"/>
        <v>0</v>
      </c>
      <c r="K98" s="182" t="str">
        <f t="shared" si="5"/>
        <v>N.a.</v>
      </c>
      <c r="O98" s="295" t="str">
        <f t="shared" si="6"/>
        <v>N.a.</v>
      </c>
      <c r="P98" s="296" t="str">
        <v>N.a.</v>
      </c>
      <c r="Q98" s="296" t="str">
        <v>N.a.</v>
      </c>
      <c r="R98" s="296" t="str">
        <v>N.a.</v>
      </c>
      <c r="S98" s="296" t="str">
        <v>N.a.</v>
      </c>
      <c r="T98" s="300"/>
      <c r="U98" s="300"/>
      <c r="V98" s="300"/>
      <c r="W98" s="300"/>
      <c r="X98" s="300"/>
    </row>
    <row r="99" spans="3:24" hidden="1" outlineLevel="1">
      <c r="C99" s="73" t="str">
        <v>SpareOfferB13</v>
      </c>
      <c r="D99" s="123">
        <v>0</v>
      </c>
      <c r="E99" s="139"/>
      <c r="F99" s="89">
        <v>0</v>
      </c>
      <c r="G99" s="122">
        <f t="shared" si="4"/>
        <v>0</v>
      </c>
      <c r="H99" s="89">
        <v>0</v>
      </c>
      <c r="I99" s="139"/>
      <c r="J99" s="138">
        <f t="shared" si="7"/>
        <v>0</v>
      </c>
      <c r="K99" s="182" t="str">
        <f t="shared" si="5"/>
        <v>N.a.</v>
      </c>
      <c r="O99" s="295" t="str">
        <f t="shared" si="6"/>
        <v>N.a.</v>
      </c>
      <c r="P99" s="296" t="str">
        <v>N.a.</v>
      </c>
      <c r="Q99" s="296" t="str">
        <v>N.a.</v>
      </c>
      <c r="R99" s="296" t="str">
        <v>N.a.</v>
      </c>
      <c r="S99" s="296" t="str">
        <v>N.a.</v>
      </c>
      <c r="T99" s="300"/>
      <c r="U99" s="300"/>
      <c r="V99" s="300"/>
      <c r="W99" s="300"/>
      <c r="X99" s="300"/>
    </row>
    <row r="100" spans="3:24" hidden="1" outlineLevel="1">
      <c r="C100" s="73" t="str">
        <v>SpareOfferB14</v>
      </c>
      <c r="D100" s="123">
        <v>0</v>
      </c>
      <c r="E100" s="139"/>
      <c r="F100" s="89">
        <v>0</v>
      </c>
      <c r="G100" s="122">
        <f t="shared" si="4"/>
        <v>0</v>
      </c>
      <c r="H100" s="89">
        <v>0</v>
      </c>
      <c r="I100" s="139"/>
      <c r="J100" s="138">
        <f t="shared" si="7"/>
        <v>0</v>
      </c>
      <c r="K100" s="182" t="str">
        <f t="shared" si="5"/>
        <v>N.a.</v>
      </c>
      <c r="O100" s="295" t="str">
        <f t="shared" si="6"/>
        <v>N.a.</v>
      </c>
      <c r="P100" s="296" t="str">
        <v>N.a.</v>
      </c>
      <c r="Q100" s="296" t="str">
        <v>N.a.</v>
      </c>
      <c r="R100" s="296" t="str">
        <v>N.a.</v>
      </c>
      <c r="S100" s="296" t="str">
        <v>N.a.</v>
      </c>
      <c r="T100" s="300"/>
      <c r="U100" s="300"/>
      <c r="V100" s="300"/>
      <c r="W100" s="300"/>
      <c r="X100" s="300"/>
    </row>
    <row r="101" spans="3:24" hidden="1" outlineLevel="1">
      <c r="C101" s="73" t="str">
        <v>SpareOfferB15</v>
      </c>
      <c r="D101" s="123">
        <v>0</v>
      </c>
      <c r="E101" s="139"/>
      <c r="F101" s="89">
        <v>0</v>
      </c>
      <c r="G101" s="122">
        <f t="shared" si="4"/>
        <v>0</v>
      </c>
      <c r="H101" s="89">
        <v>0</v>
      </c>
      <c r="I101" s="139"/>
      <c r="J101" s="138">
        <f t="shared" si="7"/>
        <v>0</v>
      </c>
      <c r="K101" s="182" t="str">
        <f t="shared" si="5"/>
        <v>N.a.</v>
      </c>
      <c r="O101" s="295" t="str">
        <f t="shared" si="6"/>
        <v>N.a.</v>
      </c>
      <c r="P101" s="296" t="str">
        <v>N.a.</v>
      </c>
      <c r="Q101" s="296" t="str">
        <v>N.a.</v>
      </c>
      <c r="R101" s="296" t="str">
        <v>N.a.</v>
      </c>
      <c r="S101" s="296" t="str">
        <v>N.a.</v>
      </c>
      <c r="T101" s="300"/>
      <c r="U101" s="300"/>
      <c r="V101" s="300"/>
      <c r="W101" s="300"/>
      <c r="X101" s="300"/>
    </row>
    <row r="102" spans="3:24" hidden="1" outlineLevel="1">
      <c r="C102" s="73" t="str">
        <v>SpareOfferB16</v>
      </c>
      <c r="D102" s="123">
        <v>0</v>
      </c>
      <c r="E102" s="139"/>
      <c r="F102" s="89">
        <v>0</v>
      </c>
      <c r="G102" s="122">
        <f t="shared" si="4"/>
        <v>0</v>
      </c>
      <c r="H102" s="89">
        <v>0</v>
      </c>
      <c r="I102" s="139"/>
      <c r="J102" s="138">
        <f t="shared" si="7"/>
        <v>0</v>
      </c>
      <c r="K102" s="182" t="str">
        <f t="shared" si="5"/>
        <v>N.a.</v>
      </c>
      <c r="O102" s="295" t="str">
        <f t="shared" si="6"/>
        <v>N.a.</v>
      </c>
      <c r="P102" s="296" t="str">
        <v>N.a.</v>
      </c>
      <c r="Q102" s="296" t="str">
        <v>N.a.</v>
      </c>
      <c r="R102" s="296" t="str">
        <v>N.a.</v>
      </c>
      <c r="S102" s="296" t="str">
        <v>N.a.</v>
      </c>
      <c r="T102" s="300"/>
      <c r="U102" s="300"/>
      <c r="V102" s="300"/>
      <c r="W102" s="300"/>
      <c r="X102" s="300"/>
    </row>
    <row r="103" spans="3:24" hidden="1" outlineLevel="1">
      <c r="C103" s="73" t="str">
        <v>SpareOfferB17</v>
      </c>
      <c r="D103" s="123">
        <v>0</v>
      </c>
      <c r="E103" s="139"/>
      <c r="F103" s="89">
        <v>0</v>
      </c>
      <c r="G103" s="122">
        <f t="shared" si="4"/>
        <v>0</v>
      </c>
      <c r="H103" s="89">
        <v>0</v>
      </c>
      <c r="I103" s="139"/>
      <c r="J103" s="138">
        <f t="shared" si="7"/>
        <v>0</v>
      </c>
      <c r="K103" s="182" t="str">
        <f t="shared" si="5"/>
        <v>N.a.</v>
      </c>
      <c r="O103" s="295" t="str">
        <f t="shared" si="6"/>
        <v>N.a.</v>
      </c>
      <c r="P103" s="296" t="str">
        <v>N.a.</v>
      </c>
      <c r="Q103" s="296" t="str">
        <v>N.a.</v>
      </c>
      <c r="R103" s="296" t="str">
        <v>N.a.</v>
      </c>
      <c r="S103" s="296" t="str">
        <v>N.a.</v>
      </c>
      <c r="T103" s="300"/>
      <c r="U103" s="300"/>
      <c r="V103" s="300"/>
      <c r="W103" s="300"/>
      <c r="X103" s="300"/>
    </row>
    <row r="104" spans="3:24" hidden="1" outlineLevel="1">
      <c r="C104" s="73" t="str">
        <v>SpareOfferB18</v>
      </c>
      <c r="D104" s="123">
        <v>0</v>
      </c>
      <c r="E104" s="139"/>
      <c r="F104" s="89">
        <v>0</v>
      </c>
      <c r="G104" s="122">
        <f t="shared" si="4"/>
        <v>0</v>
      </c>
      <c r="H104" s="89">
        <v>0</v>
      </c>
      <c r="I104" s="139"/>
      <c r="J104" s="138">
        <f t="shared" si="7"/>
        <v>0</v>
      </c>
      <c r="K104" s="182" t="str">
        <f t="shared" si="5"/>
        <v>N.a.</v>
      </c>
      <c r="M104" s="309"/>
      <c r="O104" s="295" t="str">
        <f t="shared" si="6"/>
        <v>N.a.</v>
      </c>
      <c r="P104" s="296" t="str">
        <v>N.a.</v>
      </c>
      <c r="Q104" s="296" t="str">
        <v>N.a.</v>
      </c>
      <c r="R104" s="296" t="str">
        <v>N.a.</v>
      </c>
      <c r="S104" s="296" t="str">
        <v>N.a.</v>
      </c>
      <c r="T104" s="300"/>
      <c r="U104" s="300"/>
      <c r="V104" s="300"/>
      <c r="W104" s="300"/>
      <c r="X104" s="300"/>
    </row>
    <row r="105" spans="3:24" hidden="1" outlineLevel="1">
      <c r="C105" s="73" t="str">
        <v>SpareOfferB19</v>
      </c>
      <c r="D105" s="123">
        <v>0</v>
      </c>
      <c r="E105" s="139"/>
      <c r="F105" s="89">
        <v>0</v>
      </c>
      <c r="G105" s="122">
        <f t="shared" si="4"/>
        <v>0</v>
      </c>
      <c r="H105" s="89">
        <v>0</v>
      </c>
      <c r="I105" s="139"/>
      <c r="J105" s="138">
        <f t="shared" si="7"/>
        <v>0</v>
      </c>
      <c r="K105" s="182" t="str">
        <f t="shared" si="5"/>
        <v>N.a.</v>
      </c>
      <c r="O105" s="295" t="str">
        <f t="shared" si="6"/>
        <v>N.a.</v>
      </c>
      <c r="P105" s="296" t="str">
        <v>N.a.</v>
      </c>
      <c r="Q105" s="296" t="str">
        <v>N.a.</v>
      </c>
      <c r="R105" s="296" t="str">
        <v>N.a.</v>
      </c>
      <c r="S105" s="296" t="str">
        <v>N.a.</v>
      </c>
      <c r="T105" s="300"/>
      <c r="U105" s="300"/>
      <c r="V105" s="300"/>
      <c r="W105" s="300"/>
      <c r="X105" s="300"/>
    </row>
    <row r="106" spans="3:24" hidden="1" outlineLevel="1">
      <c r="C106" s="73" t="str">
        <v>SpareOfferB20</v>
      </c>
      <c r="D106" s="123">
        <v>0</v>
      </c>
      <c r="E106" s="139"/>
      <c r="F106" s="89">
        <v>0</v>
      </c>
      <c r="G106" s="122">
        <f t="shared" si="4"/>
        <v>0</v>
      </c>
      <c r="H106" s="89">
        <v>0</v>
      </c>
      <c r="I106" s="139"/>
      <c r="J106" s="138">
        <f t="shared" si="7"/>
        <v>0</v>
      </c>
      <c r="K106" s="182" t="str">
        <f t="shared" si="5"/>
        <v>N.a.</v>
      </c>
      <c r="O106" s="295" t="str">
        <f t="shared" si="6"/>
        <v>N.a.</v>
      </c>
      <c r="P106" s="296" t="str">
        <v>N.a.</v>
      </c>
      <c r="Q106" s="296" t="str">
        <v>N.a.</v>
      </c>
      <c r="R106" s="296" t="str">
        <v>N.a.</v>
      </c>
      <c r="S106" s="296" t="str">
        <v>N.a.</v>
      </c>
      <c r="T106" s="300"/>
      <c r="U106" s="300"/>
      <c r="V106" s="300"/>
      <c r="W106" s="300"/>
      <c r="X106" s="300"/>
    </row>
    <row r="107" spans="3:24" hidden="1" outlineLevel="1">
      <c r="C107" s="73" t="str">
        <v>SpareOfferB21</v>
      </c>
      <c r="D107" s="123">
        <v>0</v>
      </c>
      <c r="E107" s="139"/>
      <c r="F107" s="89">
        <v>0</v>
      </c>
      <c r="G107" s="122">
        <f t="shared" si="4"/>
        <v>0</v>
      </c>
      <c r="H107" s="89">
        <v>0</v>
      </c>
      <c r="I107" s="139"/>
      <c r="J107" s="138">
        <f t="shared" si="7"/>
        <v>0</v>
      </c>
      <c r="K107" s="182" t="str">
        <f t="shared" si="5"/>
        <v>N.a.</v>
      </c>
      <c r="O107" s="295" t="str">
        <f t="shared" si="6"/>
        <v>N.a.</v>
      </c>
      <c r="P107" s="296" t="str">
        <v>N.a.</v>
      </c>
      <c r="Q107" s="296" t="str">
        <v>N.a.</v>
      </c>
      <c r="R107" s="296" t="str">
        <v>N.a.</v>
      </c>
      <c r="S107" s="296" t="str">
        <v>N.a.</v>
      </c>
      <c r="T107" s="300"/>
      <c r="U107" s="300"/>
      <c r="V107" s="300"/>
      <c r="W107" s="300"/>
      <c r="X107" s="300"/>
    </row>
    <row r="108" spans="3:24" hidden="1" outlineLevel="1">
      <c r="C108" s="73" t="str">
        <v>SpareOfferB22</v>
      </c>
      <c r="D108" s="123">
        <v>0</v>
      </c>
      <c r="E108" s="139"/>
      <c r="F108" s="89">
        <v>0</v>
      </c>
      <c r="G108" s="122">
        <f t="shared" si="4"/>
        <v>0</v>
      </c>
      <c r="H108" s="89">
        <v>0</v>
      </c>
      <c r="I108" s="139"/>
      <c r="J108" s="138">
        <f t="shared" si="7"/>
        <v>0</v>
      </c>
      <c r="K108" s="182" t="str">
        <f t="shared" si="5"/>
        <v>N.a.</v>
      </c>
      <c r="O108" s="295" t="str">
        <f t="shared" si="6"/>
        <v>N.a.</v>
      </c>
      <c r="P108" s="296" t="str">
        <v>N.a.</v>
      </c>
      <c r="Q108" s="296" t="str">
        <v>N.a.</v>
      </c>
      <c r="R108" s="296" t="str">
        <v>N.a.</v>
      </c>
      <c r="S108" s="296" t="str">
        <v>N.a.</v>
      </c>
      <c r="T108" s="300"/>
      <c r="U108" s="300"/>
      <c r="V108" s="300"/>
      <c r="W108" s="300"/>
      <c r="X108" s="300"/>
    </row>
    <row r="109" spans="3:24" hidden="1" outlineLevel="1">
      <c r="C109" s="73" t="str">
        <v>SpareOfferB23</v>
      </c>
      <c r="D109" s="123">
        <v>0</v>
      </c>
      <c r="E109" s="139"/>
      <c r="F109" s="89">
        <v>0</v>
      </c>
      <c r="G109" s="122">
        <f t="shared" si="4"/>
        <v>0</v>
      </c>
      <c r="H109" s="89">
        <v>0</v>
      </c>
      <c r="I109" s="139"/>
      <c r="J109" s="138">
        <f t="shared" si="7"/>
        <v>0</v>
      </c>
      <c r="K109" s="182" t="str">
        <f t="shared" si="5"/>
        <v>N.a.</v>
      </c>
      <c r="O109" s="295" t="str">
        <f t="shared" si="6"/>
        <v>N.a.</v>
      </c>
      <c r="P109" s="296" t="str">
        <v>N.a.</v>
      </c>
      <c r="Q109" s="296" t="str">
        <v>N.a.</v>
      </c>
      <c r="R109" s="296" t="str">
        <v>N.a.</v>
      </c>
      <c r="S109" s="296" t="str">
        <v>N.a.</v>
      </c>
      <c r="T109" s="300"/>
      <c r="U109" s="300"/>
      <c r="V109" s="300"/>
      <c r="W109" s="300"/>
      <c r="X109" s="300"/>
    </row>
    <row r="110" spans="3:24" hidden="1" outlineLevel="1">
      <c r="C110" s="73" t="str">
        <v>SpareOfferB24</v>
      </c>
      <c r="D110" s="123">
        <v>0</v>
      </c>
      <c r="E110" s="139"/>
      <c r="F110" s="89">
        <v>0</v>
      </c>
      <c r="G110" s="122">
        <f t="shared" si="4"/>
        <v>0</v>
      </c>
      <c r="H110" s="89">
        <v>0</v>
      </c>
      <c r="I110" s="139"/>
      <c r="J110" s="138">
        <f t="shared" si="7"/>
        <v>0</v>
      </c>
      <c r="K110" s="182" t="str">
        <f t="shared" si="5"/>
        <v>N.a.</v>
      </c>
      <c r="O110" s="295" t="str">
        <f t="shared" si="6"/>
        <v>N.a.</v>
      </c>
      <c r="P110" s="296" t="str">
        <v>N.a.</v>
      </c>
      <c r="Q110" s="296" t="str">
        <v>N.a.</v>
      </c>
      <c r="R110" s="296" t="str">
        <v>N.a.</v>
      </c>
      <c r="S110" s="296" t="str">
        <v>N.a.</v>
      </c>
      <c r="T110" s="300"/>
      <c r="U110" s="300"/>
      <c r="V110" s="300"/>
      <c r="W110" s="300"/>
      <c r="X110" s="300"/>
    </row>
    <row r="111" spans="3:24" hidden="1" outlineLevel="1">
      <c r="C111" s="73" t="str">
        <v>SpareOfferB25</v>
      </c>
      <c r="D111" s="123">
        <v>0</v>
      </c>
      <c r="E111" s="139"/>
      <c r="F111" s="89">
        <v>0</v>
      </c>
      <c r="G111" s="122">
        <f t="shared" si="4"/>
        <v>0</v>
      </c>
      <c r="H111" s="89">
        <v>0</v>
      </c>
      <c r="I111" s="139"/>
      <c r="J111" s="138">
        <f t="shared" si="7"/>
        <v>0</v>
      </c>
      <c r="K111" s="182" t="str">
        <f t="shared" si="5"/>
        <v>N.a.</v>
      </c>
      <c r="O111" s="295" t="str">
        <f t="shared" si="6"/>
        <v>N.a.</v>
      </c>
      <c r="P111" s="296" t="str">
        <v>N.a.</v>
      </c>
      <c r="Q111" s="296" t="str">
        <v>N.a.</v>
      </c>
      <c r="R111" s="296" t="str">
        <v>N.a.</v>
      </c>
      <c r="S111" s="296" t="str">
        <v>N.a.</v>
      </c>
      <c r="T111" s="300"/>
      <c r="U111" s="300"/>
      <c r="V111" s="300"/>
      <c r="W111" s="300"/>
      <c r="X111" s="300"/>
    </row>
    <row r="112" spans="3:24" hidden="1" outlineLevel="1">
      <c r="C112" s="73" t="str">
        <v>SpareOfferB26</v>
      </c>
      <c r="D112" s="123">
        <v>0</v>
      </c>
      <c r="E112" s="139"/>
      <c r="F112" s="89">
        <v>0</v>
      </c>
      <c r="G112" s="122">
        <f t="shared" si="4"/>
        <v>0</v>
      </c>
      <c r="H112" s="89">
        <v>0</v>
      </c>
      <c r="I112" s="139"/>
      <c r="J112" s="138">
        <f t="shared" si="7"/>
        <v>0</v>
      </c>
      <c r="K112" s="182" t="str">
        <f t="shared" si="5"/>
        <v>N.a.</v>
      </c>
      <c r="O112" s="295" t="str">
        <f t="shared" si="6"/>
        <v>N.a.</v>
      </c>
      <c r="P112" s="296" t="str">
        <v>N.a.</v>
      </c>
      <c r="Q112" s="296" t="str">
        <v>N.a.</v>
      </c>
      <c r="R112" s="296" t="str">
        <v>N.a.</v>
      </c>
      <c r="S112" s="296" t="str">
        <v>N.a.</v>
      </c>
      <c r="T112" s="300"/>
      <c r="U112" s="300"/>
      <c r="V112" s="300"/>
      <c r="W112" s="300"/>
      <c r="X112" s="300"/>
    </row>
    <row r="113" spans="1:24" hidden="1" outlineLevel="1">
      <c r="C113" s="73" t="str">
        <v>SpareOfferB27</v>
      </c>
      <c r="D113" s="123">
        <v>0</v>
      </c>
      <c r="E113" s="139"/>
      <c r="F113" s="89">
        <v>0</v>
      </c>
      <c r="G113" s="122">
        <f t="shared" si="4"/>
        <v>0</v>
      </c>
      <c r="H113" s="89">
        <v>0</v>
      </c>
      <c r="I113" s="139"/>
      <c r="J113" s="138">
        <f t="shared" si="7"/>
        <v>0</v>
      </c>
      <c r="K113" s="182" t="str">
        <f t="shared" si="5"/>
        <v>N.a.</v>
      </c>
      <c r="O113" s="295" t="str">
        <f t="shared" si="6"/>
        <v>N.a.</v>
      </c>
      <c r="P113" s="296" t="str">
        <v>N.a.</v>
      </c>
      <c r="Q113" s="296" t="str">
        <v>N.a.</v>
      </c>
      <c r="R113" s="296" t="str">
        <v>N.a.</v>
      </c>
      <c r="S113" s="296" t="str">
        <v>N.a.</v>
      </c>
      <c r="T113" s="300"/>
      <c r="U113" s="300"/>
      <c r="V113" s="300"/>
      <c r="W113" s="300"/>
      <c r="X113" s="300"/>
    </row>
    <row r="114" spans="1:24" hidden="1" outlineLevel="1">
      <c r="C114" s="73" t="str">
        <v>SpareOfferB28</v>
      </c>
      <c r="D114" s="123">
        <v>0</v>
      </c>
      <c r="E114" s="139"/>
      <c r="F114" s="89">
        <v>0</v>
      </c>
      <c r="G114" s="122">
        <f t="shared" si="4"/>
        <v>0</v>
      </c>
      <c r="H114" s="89">
        <v>0</v>
      </c>
      <c r="I114" s="139"/>
      <c r="J114" s="138">
        <f t="shared" si="7"/>
        <v>0</v>
      </c>
      <c r="K114" s="182" t="str">
        <f t="shared" si="5"/>
        <v>N.a.</v>
      </c>
      <c r="O114" s="295" t="str">
        <f t="shared" si="6"/>
        <v>N.a.</v>
      </c>
      <c r="P114" s="296" t="str">
        <v>N.a.</v>
      </c>
      <c r="Q114" s="296" t="str">
        <v>N.a.</v>
      </c>
      <c r="R114" s="296" t="str">
        <v>N.a.</v>
      </c>
      <c r="S114" s="296" t="str">
        <v>N.a.</v>
      </c>
      <c r="T114" s="300"/>
      <c r="U114" s="300"/>
      <c r="V114" s="300"/>
      <c r="W114" s="300"/>
      <c r="X114" s="300"/>
    </row>
    <row r="115" spans="1:24" hidden="1" outlineLevel="1">
      <c r="C115" s="73" t="str">
        <v>SpareOfferB29</v>
      </c>
      <c r="D115" s="123">
        <v>0</v>
      </c>
      <c r="E115" s="139"/>
      <c r="F115" s="89">
        <v>0</v>
      </c>
      <c r="G115" s="122">
        <f t="shared" si="4"/>
        <v>0</v>
      </c>
      <c r="H115" s="89">
        <v>0</v>
      </c>
      <c r="I115" s="139"/>
      <c r="J115" s="138">
        <f t="shared" si="7"/>
        <v>0</v>
      </c>
      <c r="K115" s="182" t="str">
        <f t="shared" si="5"/>
        <v>N.a.</v>
      </c>
      <c r="O115" s="295" t="str">
        <f t="shared" si="6"/>
        <v>N.a.</v>
      </c>
      <c r="P115" s="296" t="str">
        <v>N.a.</v>
      </c>
      <c r="Q115" s="296" t="str">
        <v>N.a.</v>
      </c>
      <c r="R115" s="296" t="str">
        <v>N.a.</v>
      </c>
      <c r="S115" s="296" t="str">
        <v>N.a.</v>
      </c>
      <c r="T115" s="300"/>
      <c r="U115" s="300"/>
      <c r="V115" s="300"/>
      <c r="W115" s="300"/>
      <c r="X115" s="300"/>
    </row>
    <row r="116" spans="1:24" hidden="1" outlineLevel="1">
      <c r="C116" s="73" t="str">
        <v>SpareOfferB30</v>
      </c>
      <c r="D116" s="123">
        <v>0</v>
      </c>
      <c r="E116" s="139"/>
      <c r="F116" s="89">
        <v>0</v>
      </c>
      <c r="G116" s="122">
        <f t="shared" si="4"/>
        <v>0</v>
      </c>
      <c r="H116" s="89">
        <v>0</v>
      </c>
      <c r="I116" s="139"/>
      <c r="J116" s="138">
        <f t="shared" si="7"/>
        <v>0</v>
      </c>
      <c r="K116" s="182" t="str">
        <f t="shared" si="5"/>
        <v>N.a.</v>
      </c>
      <c r="O116" s="295" t="str">
        <f t="shared" si="6"/>
        <v>N.a.</v>
      </c>
      <c r="P116" s="296" t="str">
        <v>N.a.</v>
      </c>
      <c r="Q116" s="296" t="str">
        <v>N.a.</v>
      </c>
      <c r="R116" s="296" t="str">
        <v>N.a.</v>
      </c>
      <c r="S116" s="296" t="str">
        <v>N.a.</v>
      </c>
    </row>
    <row r="117" spans="1:24" hidden="1" outlineLevel="1">
      <c r="C117" s="73" t="str">
        <v>SpareOfferB31</v>
      </c>
      <c r="D117" s="123">
        <v>0</v>
      </c>
      <c r="E117" s="139"/>
      <c r="F117" s="89">
        <v>0</v>
      </c>
      <c r="G117" s="122">
        <f t="shared" si="4"/>
        <v>0</v>
      </c>
      <c r="H117" s="89">
        <v>0</v>
      </c>
      <c r="I117" s="139"/>
      <c r="J117" s="138">
        <f t="shared" si="7"/>
        <v>0</v>
      </c>
      <c r="K117" s="182" t="str">
        <f t="shared" si="5"/>
        <v>N.a.</v>
      </c>
      <c r="O117" s="295" t="str">
        <f t="shared" si="6"/>
        <v>N.a.</v>
      </c>
      <c r="P117" s="296" t="str">
        <v>N.a.</v>
      </c>
      <c r="Q117" s="296" t="str">
        <v>N.a.</v>
      </c>
      <c r="R117" s="296" t="str">
        <v>N.a.</v>
      </c>
      <c r="S117" s="296" t="str">
        <v>N.a.</v>
      </c>
    </row>
    <row r="118" spans="1:24" hidden="1" outlineLevel="1">
      <c r="C118" s="73" t="str">
        <v>SpareOfferB32</v>
      </c>
      <c r="D118" s="123">
        <v>0</v>
      </c>
      <c r="E118" s="139"/>
      <c r="F118" s="89">
        <v>0</v>
      </c>
      <c r="G118" s="122">
        <f t="shared" si="4"/>
        <v>0</v>
      </c>
      <c r="H118" s="89">
        <v>0</v>
      </c>
      <c r="I118" s="139"/>
      <c r="J118" s="138">
        <f t="shared" si="7"/>
        <v>0</v>
      </c>
      <c r="K118" s="182" t="str">
        <f t="shared" si="5"/>
        <v>N.a.</v>
      </c>
      <c r="O118" s="295" t="str">
        <f t="shared" si="6"/>
        <v>N.a.</v>
      </c>
      <c r="P118" s="296" t="str">
        <v>N.a.</v>
      </c>
      <c r="Q118" s="296" t="str">
        <v>N.a.</v>
      </c>
      <c r="R118" s="296" t="str">
        <v>N.a.</v>
      </c>
      <c r="S118" s="296" t="str">
        <v>N.a.</v>
      </c>
    </row>
    <row r="119" spans="1:24" hidden="1" outlineLevel="1">
      <c r="C119" s="73" t="str">
        <v>SpareOfferB33</v>
      </c>
      <c r="D119" s="123">
        <v>0</v>
      </c>
      <c r="E119" s="139"/>
      <c r="F119" s="89">
        <v>0</v>
      </c>
      <c r="G119" s="122">
        <f t="shared" si="4"/>
        <v>0</v>
      </c>
      <c r="H119" s="89">
        <v>0</v>
      </c>
      <c r="I119" s="139"/>
      <c r="J119" s="138">
        <f t="shared" si="7"/>
        <v>0</v>
      </c>
      <c r="K119" s="182" t="str">
        <f t="shared" si="5"/>
        <v>N.a.</v>
      </c>
      <c r="O119" s="295" t="str">
        <f t="shared" si="6"/>
        <v>N.a.</v>
      </c>
      <c r="P119" s="296" t="str">
        <v>N.a.</v>
      </c>
      <c r="Q119" s="296" t="str">
        <v>N.a.</v>
      </c>
      <c r="R119" s="296" t="str">
        <v>N.a.</v>
      </c>
      <c r="S119" s="296" t="str">
        <v>N.a.</v>
      </c>
    </row>
    <row r="120" spans="1:24" hidden="1" outlineLevel="1">
      <c r="C120" s="73" t="str">
        <v>SpareOfferB34</v>
      </c>
      <c r="D120" s="123">
        <v>0</v>
      </c>
      <c r="E120" s="139"/>
      <c r="F120" s="89">
        <v>0</v>
      </c>
      <c r="G120" s="122">
        <f t="shared" si="4"/>
        <v>0</v>
      </c>
      <c r="H120" s="89">
        <v>0</v>
      </c>
      <c r="I120" s="139"/>
      <c r="J120" s="138">
        <f t="shared" si="7"/>
        <v>0</v>
      </c>
      <c r="K120" s="182" t="str">
        <f t="shared" si="5"/>
        <v>N.a.</v>
      </c>
      <c r="O120" s="295" t="str">
        <f t="shared" si="6"/>
        <v>N.a.</v>
      </c>
      <c r="P120" s="296" t="str">
        <v>N.a.</v>
      </c>
      <c r="Q120" s="296" t="str">
        <v>N.a.</v>
      </c>
      <c r="R120" s="296" t="str">
        <v>N.a.</v>
      </c>
      <c r="S120" s="296" t="str">
        <v>N.a.</v>
      </c>
    </row>
    <row r="121" spans="1:24" collapsed="1">
      <c r="C121" s="73" t="str">
        <v>SpareOfferB35</v>
      </c>
      <c r="D121" s="123">
        <v>0</v>
      </c>
      <c r="E121" s="139"/>
      <c r="F121" s="89">
        <v>0</v>
      </c>
      <c r="G121" s="122">
        <f t="shared" si="4"/>
        <v>0</v>
      </c>
      <c r="H121" s="89">
        <v>0</v>
      </c>
      <c r="I121" s="139"/>
      <c r="J121" s="138">
        <f t="shared" si="7"/>
        <v>0</v>
      </c>
      <c r="K121" s="182" t="str">
        <f t="shared" si="5"/>
        <v>N.a.</v>
      </c>
      <c r="O121" s="295" t="str">
        <f t="shared" si="6"/>
        <v>N.a.</v>
      </c>
      <c r="P121" s="296" t="str">
        <v>N.a.</v>
      </c>
      <c r="Q121" s="296" t="str">
        <v>N.a.</v>
      </c>
      <c r="R121" s="296" t="str">
        <v>N.a.</v>
      </c>
      <c r="S121" s="296" t="str">
        <v>N.a.</v>
      </c>
    </row>
    <row r="122" spans="1:24">
      <c r="O122" s="269"/>
      <c r="P122" s="269"/>
      <c r="Q122" s="269"/>
      <c r="R122" s="269"/>
    </row>
    <row r="123" spans="1:24" s="207" customFormat="1">
      <c r="A123" s="207">
        <v>3</v>
      </c>
      <c r="B123" s="207" t="str">
        <f>INDEX(segments,A123)</f>
        <v>SpareSegmentC</v>
      </c>
    </row>
    <row r="124" spans="1:24">
      <c r="O124" s="269"/>
      <c r="P124" s="269"/>
      <c r="Q124" s="269"/>
      <c r="R124" s="269"/>
    </row>
    <row r="125" spans="1:24" ht="23">
      <c r="C125" s="1" t="s">
        <v>262</v>
      </c>
      <c r="D125" s="1" t="s">
        <v>169</v>
      </c>
      <c r="E125" s="1" t="s">
        <v>387</v>
      </c>
      <c r="F125" s="1" t="s">
        <v>173</v>
      </c>
      <c r="G125" s="1" t="s">
        <v>319</v>
      </c>
      <c r="H125" s="1" t="s">
        <v>219</v>
      </c>
      <c r="I125" s="1" t="s">
        <v>172</v>
      </c>
      <c r="J125" s="1" t="s">
        <v>199</v>
      </c>
      <c r="K125" s="1" t="s">
        <v>263</v>
      </c>
      <c r="M125" s="1" t="s">
        <v>667</v>
      </c>
      <c r="O125" s="269"/>
      <c r="P125" s="269"/>
      <c r="Q125" s="269"/>
      <c r="R125" s="269"/>
    </row>
    <row r="126" spans="1:24">
      <c r="C126" t="s">
        <v>7</v>
      </c>
      <c r="D126" s="89">
        <f>output.revenue.segment.3</f>
        <v>0</v>
      </c>
      <c r="E126" s="89">
        <f>output.additional.revenue.segment.3</f>
        <v>0</v>
      </c>
      <c r="F126" s="89">
        <f>-output.wholesale.costs.segment.3</f>
        <v>0</v>
      </c>
      <c r="G126" s="137">
        <f>-output.fixed.ws.segment.3</f>
        <v>0</v>
      </c>
      <c r="H126" s="89">
        <f>-output.interconnection.costs.segment.3</f>
        <v>0</v>
      </c>
      <c r="I126" s="89">
        <f>-output.retail.costs.segment.3</f>
        <v>0</v>
      </c>
      <c r="J126" s="138">
        <f>SUM(D126:I126)</f>
        <v>0</v>
      </c>
      <c r="K126" s="105" t="str">
        <f>IF((D126+E126)=0,label.not.applicable,J126/(D126+E126))</f>
        <v>N.a.</v>
      </c>
      <c r="M126" s="223">
        <f>output.average.cost.per.MB.segment.3</f>
        <v>0</v>
      </c>
      <c r="O126" s="269"/>
      <c r="P126" s="269"/>
      <c r="Q126" s="269"/>
      <c r="R126" s="269"/>
    </row>
    <row r="127" spans="1:24">
      <c r="O127" s="269"/>
      <c r="P127" s="269"/>
      <c r="Q127" s="269"/>
      <c r="R127" s="269"/>
    </row>
    <row r="128" spans="1:24" ht="23">
      <c r="C128" s="1" t="s">
        <v>150</v>
      </c>
      <c r="D128" s="1" t="s">
        <v>169</v>
      </c>
      <c r="E128" s="1" t="s">
        <v>387</v>
      </c>
      <c r="F128" s="1" t="s">
        <v>173</v>
      </c>
      <c r="G128" s="1" t="s">
        <v>319</v>
      </c>
      <c r="H128" s="1" t="s">
        <v>219</v>
      </c>
      <c r="I128" s="1" t="s">
        <v>172</v>
      </c>
      <c r="J128" s="1" t="s">
        <v>199</v>
      </c>
      <c r="K128" s="1" t="s">
        <v>149</v>
      </c>
      <c r="O128" s="269"/>
      <c r="P128" s="269"/>
      <c r="Q128" s="269"/>
      <c r="R128" s="269"/>
    </row>
    <row r="129" spans="3:18">
      <c r="C129" s="73" t="str">
        <f t="array" ref="C129:C163">offers.segment.3</f>
        <v>SpareOfferC1</v>
      </c>
      <c r="D129" s="123">
        <f t="array" ref="D129:D163">output.revenue.segment.3.offers</f>
        <v>0</v>
      </c>
      <c r="E129" s="139"/>
      <c r="F129" s="89">
        <f t="array" ref="F129:F163">-output.wholesale.costs.segment.3.offers</f>
        <v>0</v>
      </c>
      <c r="G129" s="122">
        <f t="shared" ref="G129:G163" si="8">IF($F$126=0, 0, IF(wholesale.offer.type.selected=lbl.SP,(F129+H129)/($F$126+$H$126)*$G$126,F129/$F$126*$G$126))</f>
        <v>0</v>
      </c>
      <c r="H129" s="89">
        <f t="array" ref="H129:H163">-output.interconnection.costs.segment.3.offers</f>
        <v>0</v>
      </c>
      <c r="I129" s="139"/>
      <c r="J129" s="138">
        <f>SUM(D129:I129)</f>
        <v>0</v>
      </c>
      <c r="K129" s="105" t="str">
        <f t="shared" ref="K129:K163" si="9">IF((D129+E129)=0,label.not.applicable,J129/(D129+E129))</f>
        <v>N.a.</v>
      </c>
      <c r="O129" s="269"/>
      <c r="P129" s="269"/>
      <c r="Q129" s="269"/>
      <c r="R129" s="269"/>
    </row>
    <row r="130" spans="3:18" hidden="1" outlineLevel="1">
      <c r="C130" s="73" t="str">
        <v>SpareOfferC2</v>
      </c>
      <c r="D130" s="123">
        <v>0</v>
      </c>
      <c r="E130" s="139"/>
      <c r="F130" s="89">
        <v>0</v>
      </c>
      <c r="G130" s="122">
        <f t="shared" si="8"/>
        <v>0</v>
      </c>
      <c r="H130" s="89">
        <v>0</v>
      </c>
      <c r="I130" s="139"/>
      <c r="J130" s="138">
        <f t="shared" ref="J130:J163" si="10">SUM(D130:I130)</f>
        <v>0</v>
      </c>
      <c r="K130" s="105" t="str">
        <f t="shared" si="9"/>
        <v>N.a.</v>
      </c>
      <c r="O130" s="269"/>
      <c r="P130" s="269"/>
      <c r="Q130" s="269"/>
      <c r="R130" s="269"/>
    </row>
    <row r="131" spans="3:18" hidden="1" outlineLevel="1">
      <c r="C131" s="73" t="str">
        <v>SpareOfferC3</v>
      </c>
      <c r="D131" s="123">
        <v>0</v>
      </c>
      <c r="E131" s="139"/>
      <c r="F131" s="89">
        <v>0</v>
      </c>
      <c r="G131" s="122">
        <f t="shared" si="8"/>
        <v>0</v>
      </c>
      <c r="H131" s="89">
        <v>0</v>
      </c>
      <c r="I131" s="139"/>
      <c r="J131" s="138">
        <f t="shared" si="10"/>
        <v>0</v>
      </c>
      <c r="K131" s="105" t="str">
        <f t="shared" si="9"/>
        <v>N.a.</v>
      </c>
      <c r="O131" s="269"/>
      <c r="P131" s="269"/>
      <c r="Q131" s="269"/>
      <c r="R131" s="269"/>
    </row>
    <row r="132" spans="3:18" hidden="1" outlineLevel="1">
      <c r="C132" s="73" t="str">
        <v>SpareOfferC4</v>
      </c>
      <c r="D132" s="123">
        <v>0</v>
      </c>
      <c r="E132" s="139"/>
      <c r="F132" s="89">
        <v>0</v>
      </c>
      <c r="G132" s="122">
        <f t="shared" si="8"/>
        <v>0</v>
      </c>
      <c r="H132" s="89">
        <v>0</v>
      </c>
      <c r="I132" s="139"/>
      <c r="J132" s="138">
        <f t="shared" si="10"/>
        <v>0</v>
      </c>
      <c r="K132" s="105" t="str">
        <f t="shared" si="9"/>
        <v>N.a.</v>
      </c>
      <c r="O132" s="269"/>
      <c r="P132" s="269"/>
      <c r="Q132" s="269"/>
      <c r="R132" s="269"/>
    </row>
    <row r="133" spans="3:18" hidden="1" outlineLevel="1">
      <c r="C133" s="73" t="str">
        <v>SpareOfferC5</v>
      </c>
      <c r="D133" s="123">
        <v>0</v>
      </c>
      <c r="E133" s="139"/>
      <c r="F133" s="89">
        <v>0</v>
      </c>
      <c r="G133" s="122">
        <f t="shared" si="8"/>
        <v>0</v>
      </c>
      <c r="H133" s="89">
        <v>0</v>
      </c>
      <c r="I133" s="139"/>
      <c r="J133" s="138">
        <f t="shared" si="10"/>
        <v>0</v>
      </c>
      <c r="K133" s="105" t="str">
        <f t="shared" si="9"/>
        <v>N.a.</v>
      </c>
      <c r="O133" s="269"/>
      <c r="P133" s="269"/>
      <c r="Q133" s="269"/>
      <c r="R133" s="269"/>
    </row>
    <row r="134" spans="3:18" hidden="1" outlineLevel="1">
      <c r="C134" s="73" t="str">
        <v>SpareOfferC6</v>
      </c>
      <c r="D134" s="123">
        <v>0</v>
      </c>
      <c r="E134" s="139"/>
      <c r="F134" s="89">
        <v>0</v>
      </c>
      <c r="G134" s="122">
        <f t="shared" si="8"/>
        <v>0</v>
      </c>
      <c r="H134" s="89">
        <v>0</v>
      </c>
      <c r="I134" s="139"/>
      <c r="J134" s="138">
        <f t="shared" si="10"/>
        <v>0</v>
      </c>
      <c r="K134" s="105" t="str">
        <f t="shared" si="9"/>
        <v>N.a.</v>
      </c>
      <c r="O134" s="269"/>
      <c r="P134" s="269"/>
      <c r="Q134" s="269"/>
      <c r="R134" s="269"/>
    </row>
    <row r="135" spans="3:18" hidden="1" outlineLevel="1">
      <c r="C135" s="73" t="str">
        <v>SpareOfferC7</v>
      </c>
      <c r="D135" s="123">
        <v>0</v>
      </c>
      <c r="E135" s="139"/>
      <c r="F135" s="89">
        <v>0</v>
      </c>
      <c r="G135" s="122">
        <f t="shared" si="8"/>
        <v>0</v>
      </c>
      <c r="H135" s="89">
        <v>0</v>
      </c>
      <c r="I135" s="139"/>
      <c r="J135" s="138">
        <f t="shared" si="10"/>
        <v>0</v>
      </c>
      <c r="K135" s="105" t="str">
        <f t="shared" si="9"/>
        <v>N.a.</v>
      </c>
      <c r="O135" s="269"/>
      <c r="P135" s="269"/>
      <c r="Q135" s="269"/>
      <c r="R135" s="269"/>
    </row>
    <row r="136" spans="3:18" hidden="1" outlineLevel="1">
      <c r="C136" s="73" t="str">
        <v>SpareOfferC8</v>
      </c>
      <c r="D136" s="123">
        <v>0</v>
      </c>
      <c r="E136" s="139"/>
      <c r="F136" s="89">
        <v>0</v>
      </c>
      <c r="G136" s="122">
        <f t="shared" si="8"/>
        <v>0</v>
      </c>
      <c r="H136" s="89">
        <v>0</v>
      </c>
      <c r="I136" s="139"/>
      <c r="J136" s="138">
        <f t="shared" si="10"/>
        <v>0</v>
      </c>
      <c r="K136" s="105" t="str">
        <f t="shared" si="9"/>
        <v>N.a.</v>
      </c>
      <c r="O136" s="269"/>
      <c r="P136" s="269"/>
      <c r="Q136" s="269"/>
      <c r="R136" s="269"/>
    </row>
    <row r="137" spans="3:18" hidden="1" outlineLevel="1">
      <c r="C137" s="73" t="str">
        <v>SpareOfferC9</v>
      </c>
      <c r="D137" s="123">
        <v>0</v>
      </c>
      <c r="E137" s="139"/>
      <c r="F137" s="89">
        <v>0</v>
      </c>
      <c r="G137" s="122">
        <f t="shared" si="8"/>
        <v>0</v>
      </c>
      <c r="H137" s="89">
        <v>0</v>
      </c>
      <c r="I137" s="139"/>
      <c r="J137" s="138">
        <f t="shared" si="10"/>
        <v>0</v>
      </c>
      <c r="K137" s="105" t="str">
        <f t="shared" si="9"/>
        <v>N.a.</v>
      </c>
      <c r="O137" s="269"/>
      <c r="P137" s="269"/>
      <c r="Q137" s="269"/>
      <c r="R137" s="269"/>
    </row>
    <row r="138" spans="3:18" hidden="1" outlineLevel="1">
      <c r="C138" s="73" t="str">
        <v>SpareOfferC10</v>
      </c>
      <c r="D138" s="123">
        <v>0</v>
      </c>
      <c r="E138" s="139"/>
      <c r="F138" s="89">
        <v>0</v>
      </c>
      <c r="G138" s="122">
        <f t="shared" si="8"/>
        <v>0</v>
      </c>
      <c r="H138" s="89">
        <v>0</v>
      </c>
      <c r="I138" s="139"/>
      <c r="J138" s="138">
        <f t="shared" si="10"/>
        <v>0</v>
      </c>
      <c r="K138" s="105" t="str">
        <f t="shared" si="9"/>
        <v>N.a.</v>
      </c>
      <c r="O138" s="269"/>
      <c r="P138" s="269"/>
      <c r="Q138" s="269"/>
      <c r="R138" s="269"/>
    </row>
    <row r="139" spans="3:18" hidden="1" outlineLevel="1">
      <c r="C139" s="73" t="str">
        <v>SpareOfferC11</v>
      </c>
      <c r="D139" s="123">
        <v>0</v>
      </c>
      <c r="E139" s="139"/>
      <c r="F139" s="89">
        <v>0</v>
      </c>
      <c r="G139" s="122">
        <f t="shared" si="8"/>
        <v>0</v>
      </c>
      <c r="H139" s="89">
        <v>0</v>
      </c>
      <c r="I139" s="139"/>
      <c r="J139" s="138">
        <f t="shared" si="10"/>
        <v>0</v>
      </c>
      <c r="K139" s="105" t="str">
        <f t="shared" si="9"/>
        <v>N.a.</v>
      </c>
      <c r="O139" s="269"/>
      <c r="P139" s="269"/>
      <c r="Q139" s="269"/>
      <c r="R139" s="269"/>
    </row>
    <row r="140" spans="3:18" hidden="1" outlineLevel="1">
      <c r="C140" s="73" t="str">
        <v>SpareOfferC12</v>
      </c>
      <c r="D140" s="123">
        <v>0</v>
      </c>
      <c r="E140" s="139"/>
      <c r="F140" s="89">
        <v>0</v>
      </c>
      <c r="G140" s="122">
        <f t="shared" si="8"/>
        <v>0</v>
      </c>
      <c r="H140" s="89">
        <v>0</v>
      </c>
      <c r="I140" s="139"/>
      <c r="J140" s="138">
        <f t="shared" si="10"/>
        <v>0</v>
      </c>
      <c r="K140" s="105" t="str">
        <f t="shared" si="9"/>
        <v>N.a.</v>
      </c>
      <c r="O140" s="269"/>
      <c r="P140" s="269"/>
      <c r="Q140" s="269"/>
      <c r="R140" s="269"/>
    </row>
    <row r="141" spans="3:18" hidden="1" outlineLevel="1">
      <c r="C141" s="73" t="str">
        <v>SpareOfferC13</v>
      </c>
      <c r="D141" s="123">
        <v>0</v>
      </c>
      <c r="E141" s="139"/>
      <c r="F141" s="89">
        <v>0</v>
      </c>
      <c r="G141" s="122">
        <f t="shared" si="8"/>
        <v>0</v>
      </c>
      <c r="H141" s="89">
        <v>0</v>
      </c>
      <c r="I141" s="139"/>
      <c r="J141" s="138">
        <f t="shared" si="10"/>
        <v>0</v>
      </c>
      <c r="K141" s="105" t="str">
        <f t="shared" si="9"/>
        <v>N.a.</v>
      </c>
      <c r="O141" s="269"/>
      <c r="P141" s="269"/>
      <c r="Q141" s="269"/>
      <c r="R141" s="269"/>
    </row>
    <row r="142" spans="3:18" hidden="1" outlineLevel="1">
      <c r="C142" s="73" t="str">
        <v>SpareOfferC14</v>
      </c>
      <c r="D142" s="123">
        <v>0</v>
      </c>
      <c r="E142" s="139"/>
      <c r="F142" s="89">
        <v>0</v>
      </c>
      <c r="G142" s="122">
        <f t="shared" si="8"/>
        <v>0</v>
      </c>
      <c r="H142" s="89">
        <v>0</v>
      </c>
      <c r="I142" s="139"/>
      <c r="J142" s="138">
        <f t="shared" si="10"/>
        <v>0</v>
      </c>
      <c r="K142" s="105" t="str">
        <f t="shared" si="9"/>
        <v>N.a.</v>
      </c>
      <c r="O142" s="269"/>
      <c r="P142" s="269"/>
      <c r="Q142" s="269"/>
      <c r="R142" s="269"/>
    </row>
    <row r="143" spans="3:18" hidden="1" outlineLevel="1">
      <c r="C143" s="73" t="str">
        <v>SpareOfferC15</v>
      </c>
      <c r="D143" s="123">
        <v>0</v>
      </c>
      <c r="E143" s="139"/>
      <c r="F143" s="89">
        <v>0</v>
      </c>
      <c r="G143" s="122">
        <f t="shared" si="8"/>
        <v>0</v>
      </c>
      <c r="H143" s="89">
        <v>0</v>
      </c>
      <c r="I143" s="139"/>
      <c r="J143" s="138">
        <f t="shared" si="10"/>
        <v>0</v>
      </c>
      <c r="K143" s="105" t="str">
        <f t="shared" si="9"/>
        <v>N.a.</v>
      </c>
      <c r="O143" s="269"/>
      <c r="P143" s="269"/>
      <c r="Q143" s="269"/>
      <c r="R143" s="269"/>
    </row>
    <row r="144" spans="3:18" hidden="1" outlineLevel="1">
      <c r="C144" s="73" t="str">
        <v>SpareOfferC16</v>
      </c>
      <c r="D144" s="123">
        <v>0</v>
      </c>
      <c r="E144" s="139"/>
      <c r="F144" s="89">
        <v>0</v>
      </c>
      <c r="G144" s="122">
        <f t="shared" si="8"/>
        <v>0</v>
      </c>
      <c r="H144" s="89">
        <v>0</v>
      </c>
      <c r="I144" s="139"/>
      <c r="J144" s="138">
        <f t="shared" si="10"/>
        <v>0</v>
      </c>
      <c r="K144" s="105" t="str">
        <f t="shared" si="9"/>
        <v>N.a.</v>
      </c>
      <c r="O144" s="269"/>
      <c r="P144" s="269"/>
      <c r="Q144" s="269"/>
      <c r="R144" s="269"/>
    </row>
    <row r="145" spans="3:18" hidden="1" outlineLevel="1">
      <c r="C145" s="73" t="str">
        <v>SpareOfferC17</v>
      </c>
      <c r="D145" s="123">
        <v>0</v>
      </c>
      <c r="E145" s="139"/>
      <c r="F145" s="89">
        <v>0</v>
      </c>
      <c r="G145" s="122">
        <f t="shared" si="8"/>
        <v>0</v>
      </c>
      <c r="H145" s="89">
        <v>0</v>
      </c>
      <c r="I145" s="139"/>
      <c r="J145" s="138">
        <f t="shared" si="10"/>
        <v>0</v>
      </c>
      <c r="K145" s="105" t="str">
        <f t="shared" si="9"/>
        <v>N.a.</v>
      </c>
      <c r="O145" s="269"/>
      <c r="P145" s="269"/>
      <c r="Q145" s="269"/>
      <c r="R145" s="269"/>
    </row>
    <row r="146" spans="3:18" hidden="1" outlineLevel="1">
      <c r="C146" s="73" t="str">
        <v>SpareOfferC18</v>
      </c>
      <c r="D146" s="123">
        <v>0</v>
      </c>
      <c r="E146" s="139"/>
      <c r="F146" s="89">
        <v>0</v>
      </c>
      <c r="G146" s="122">
        <f t="shared" si="8"/>
        <v>0</v>
      </c>
      <c r="H146" s="89">
        <v>0</v>
      </c>
      <c r="I146" s="139"/>
      <c r="J146" s="138">
        <f t="shared" si="10"/>
        <v>0</v>
      </c>
      <c r="K146" s="105" t="str">
        <f t="shared" si="9"/>
        <v>N.a.</v>
      </c>
      <c r="O146" s="269"/>
      <c r="P146" s="269"/>
      <c r="Q146" s="269"/>
      <c r="R146" s="269"/>
    </row>
    <row r="147" spans="3:18" hidden="1" outlineLevel="1">
      <c r="C147" s="73" t="str">
        <v>SpareOfferC19</v>
      </c>
      <c r="D147" s="123">
        <v>0</v>
      </c>
      <c r="E147" s="139"/>
      <c r="F147" s="89">
        <v>0</v>
      </c>
      <c r="G147" s="122">
        <f t="shared" si="8"/>
        <v>0</v>
      </c>
      <c r="H147" s="89">
        <v>0</v>
      </c>
      <c r="I147" s="139"/>
      <c r="J147" s="138">
        <f t="shared" si="10"/>
        <v>0</v>
      </c>
      <c r="K147" s="105" t="str">
        <f t="shared" si="9"/>
        <v>N.a.</v>
      </c>
      <c r="O147" s="269"/>
      <c r="P147" s="269"/>
      <c r="Q147" s="269"/>
      <c r="R147" s="269"/>
    </row>
    <row r="148" spans="3:18" hidden="1" outlineLevel="1">
      <c r="C148" s="73" t="str">
        <v>SpareOfferC20</v>
      </c>
      <c r="D148" s="123">
        <v>0</v>
      </c>
      <c r="E148" s="139"/>
      <c r="F148" s="89">
        <v>0</v>
      </c>
      <c r="G148" s="122">
        <f t="shared" si="8"/>
        <v>0</v>
      </c>
      <c r="H148" s="89">
        <v>0</v>
      </c>
      <c r="I148" s="139"/>
      <c r="J148" s="138">
        <f t="shared" si="10"/>
        <v>0</v>
      </c>
      <c r="K148" s="105" t="str">
        <f t="shared" si="9"/>
        <v>N.a.</v>
      </c>
      <c r="O148" s="269"/>
      <c r="P148" s="269"/>
      <c r="Q148" s="269"/>
      <c r="R148" s="269"/>
    </row>
    <row r="149" spans="3:18" hidden="1" outlineLevel="1">
      <c r="C149" s="73" t="str">
        <v>SpareOfferC21</v>
      </c>
      <c r="D149" s="123">
        <v>0</v>
      </c>
      <c r="E149" s="139"/>
      <c r="F149" s="89">
        <v>0</v>
      </c>
      <c r="G149" s="122">
        <f t="shared" si="8"/>
        <v>0</v>
      </c>
      <c r="H149" s="89">
        <v>0</v>
      </c>
      <c r="I149" s="139"/>
      <c r="J149" s="138">
        <f t="shared" si="10"/>
        <v>0</v>
      </c>
      <c r="K149" s="105" t="str">
        <f t="shared" si="9"/>
        <v>N.a.</v>
      </c>
      <c r="O149" s="269"/>
      <c r="P149" s="269"/>
      <c r="Q149" s="269"/>
      <c r="R149" s="269"/>
    </row>
    <row r="150" spans="3:18" hidden="1" outlineLevel="1">
      <c r="C150" s="73" t="str">
        <v>SpareOfferC22</v>
      </c>
      <c r="D150" s="123">
        <v>0</v>
      </c>
      <c r="E150" s="139"/>
      <c r="F150" s="89">
        <v>0</v>
      </c>
      <c r="G150" s="122">
        <f t="shared" si="8"/>
        <v>0</v>
      </c>
      <c r="H150" s="89">
        <v>0</v>
      </c>
      <c r="I150" s="139"/>
      <c r="J150" s="138">
        <f t="shared" si="10"/>
        <v>0</v>
      </c>
      <c r="K150" s="105" t="str">
        <f t="shared" si="9"/>
        <v>N.a.</v>
      </c>
      <c r="O150" s="269"/>
      <c r="P150" s="269"/>
      <c r="Q150" s="269"/>
      <c r="R150" s="269"/>
    </row>
    <row r="151" spans="3:18" hidden="1" outlineLevel="1">
      <c r="C151" s="73" t="str">
        <v>SpareOfferC23</v>
      </c>
      <c r="D151" s="123">
        <v>0</v>
      </c>
      <c r="E151" s="139"/>
      <c r="F151" s="89">
        <v>0</v>
      </c>
      <c r="G151" s="122">
        <f t="shared" si="8"/>
        <v>0</v>
      </c>
      <c r="H151" s="89">
        <v>0</v>
      </c>
      <c r="I151" s="139"/>
      <c r="J151" s="138">
        <f t="shared" si="10"/>
        <v>0</v>
      </c>
      <c r="K151" s="105" t="str">
        <f t="shared" si="9"/>
        <v>N.a.</v>
      </c>
      <c r="O151" s="269"/>
      <c r="P151" s="269"/>
      <c r="Q151" s="269"/>
      <c r="R151" s="269"/>
    </row>
    <row r="152" spans="3:18" hidden="1" outlineLevel="1">
      <c r="C152" s="73" t="str">
        <v>SpareOfferC24</v>
      </c>
      <c r="D152" s="123">
        <v>0</v>
      </c>
      <c r="E152" s="139"/>
      <c r="F152" s="89">
        <v>0</v>
      </c>
      <c r="G152" s="122">
        <f t="shared" si="8"/>
        <v>0</v>
      </c>
      <c r="H152" s="89">
        <v>0</v>
      </c>
      <c r="I152" s="139"/>
      <c r="J152" s="138">
        <f t="shared" si="10"/>
        <v>0</v>
      </c>
      <c r="K152" s="105" t="str">
        <f t="shared" si="9"/>
        <v>N.a.</v>
      </c>
      <c r="O152" s="269"/>
      <c r="P152" s="269"/>
      <c r="Q152" s="269"/>
      <c r="R152" s="269"/>
    </row>
    <row r="153" spans="3:18" hidden="1" outlineLevel="1">
      <c r="C153" s="73" t="str">
        <v>SpareOfferC25</v>
      </c>
      <c r="D153" s="123">
        <v>0</v>
      </c>
      <c r="E153" s="139"/>
      <c r="F153" s="89">
        <v>0</v>
      </c>
      <c r="G153" s="122">
        <f t="shared" si="8"/>
        <v>0</v>
      </c>
      <c r="H153" s="89">
        <v>0</v>
      </c>
      <c r="I153" s="139"/>
      <c r="J153" s="138">
        <f t="shared" si="10"/>
        <v>0</v>
      </c>
      <c r="K153" s="105" t="str">
        <f t="shared" si="9"/>
        <v>N.a.</v>
      </c>
      <c r="O153" s="269"/>
      <c r="P153" s="269"/>
      <c r="Q153" s="269"/>
      <c r="R153" s="269"/>
    </row>
    <row r="154" spans="3:18" hidden="1" outlineLevel="1">
      <c r="C154" s="73" t="str">
        <v>SpareOfferC26</v>
      </c>
      <c r="D154" s="123">
        <v>0</v>
      </c>
      <c r="E154" s="139"/>
      <c r="F154" s="89">
        <v>0</v>
      </c>
      <c r="G154" s="122">
        <f t="shared" si="8"/>
        <v>0</v>
      </c>
      <c r="H154" s="89">
        <v>0</v>
      </c>
      <c r="I154" s="139"/>
      <c r="J154" s="138">
        <f t="shared" si="10"/>
        <v>0</v>
      </c>
      <c r="K154" s="105" t="str">
        <f t="shared" si="9"/>
        <v>N.a.</v>
      </c>
      <c r="O154" s="269"/>
      <c r="P154" s="269"/>
      <c r="Q154" s="269"/>
      <c r="R154" s="269"/>
    </row>
    <row r="155" spans="3:18" hidden="1" outlineLevel="1">
      <c r="C155" s="73" t="str">
        <v>SpareOfferC27</v>
      </c>
      <c r="D155" s="123">
        <v>0</v>
      </c>
      <c r="E155" s="139"/>
      <c r="F155" s="89">
        <v>0</v>
      </c>
      <c r="G155" s="122">
        <f t="shared" si="8"/>
        <v>0</v>
      </c>
      <c r="H155" s="89">
        <v>0</v>
      </c>
      <c r="I155" s="139"/>
      <c r="J155" s="138">
        <f t="shared" si="10"/>
        <v>0</v>
      </c>
      <c r="K155" s="105" t="str">
        <f t="shared" si="9"/>
        <v>N.a.</v>
      </c>
      <c r="O155" s="269"/>
      <c r="P155" s="269"/>
      <c r="Q155" s="269"/>
      <c r="R155" s="269"/>
    </row>
    <row r="156" spans="3:18" hidden="1" outlineLevel="1">
      <c r="C156" s="73" t="str">
        <v>SpareOfferC28</v>
      </c>
      <c r="D156" s="123">
        <v>0</v>
      </c>
      <c r="E156" s="139"/>
      <c r="F156" s="89">
        <v>0</v>
      </c>
      <c r="G156" s="122">
        <f t="shared" si="8"/>
        <v>0</v>
      </c>
      <c r="H156" s="89">
        <v>0</v>
      </c>
      <c r="I156" s="139"/>
      <c r="J156" s="138">
        <f t="shared" si="10"/>
        <v>0</v>
      </c>
      <c r="K156" s="105" t="str">
        <f t="shared" si="9"/>
        <v>N.a.</v>
      </c>
      <c r="O156" s="269"/>
      <c r="P156" s="269"/>
      <c r="Q156" s="269"/>
      <c r="R156" s="269"/>
    </row>
    <row r="157" spans="3:18" hidden="1" outlineLevel="1">
      <c r="C157" s="73" t="str">
        <v>SpareOfferC29</v>
      </c>
      <c r="D157" s="123">
        <v>0</v>
      </c>
      <c r="E157" s="139"/>
      <c r="F157" s="89">
        <v>0</v>
      </c>
      <c r="G157" s="122">
        <f t="shared" si="8"/>
        <v>0</v>
      </c>
      <c r="H157" s="89">
        <v>0</v>
      </c>
      <c r="I157" s="139"/>
      <c r="J157" s="138">
        <f t="shared" si="10"/>
        <v>0</v>
      </c>
      <c r="K157" s="105" t="str">
        <f t="shared" si="9"/>
        <v>N.a.</v>
      </c>
      <c r="O157" s="269"/>
      <c r="P157" s="269"/>
      <c r="Q157" s="269"/>
      <c r="R157" s="269"/>
    </row>
    <row r="158" spans="3:18" hidden="1" outlineLevel="1">
      <c r="C158" s="73" t="str">
        <v>SpareOfferC30</v>
      </c>
      <c r="D158" s="123">
        <v>0</v>
      </c>
      <c r="E158" s="139"/>
      <c r="F158" s="89">
        <v>0</v>
      </c>
      <c r="G158" s="122">
        <f t="shared" si="8"/>
        <v>0</v>
      </c>
      <c r="H158" s="89">
        <v>0</v>
      </c>
      <c r="I158" s="139"/>
      <c r="J158" s="138">
        <f t="shared" si="10"/>
        <v>0</v>
      </c>
      <c r="K158" s="105" t="str">
        <f t="shared" si="9"/>
        <v>N.a.</v>
      </c>
      <c r="O158" s="269"/>
      <c r="P158" s="269"/>
      <c r="Q158" s="269"/>
      <c r="R158" s="269"/>
    </row>
    <row r="159" spans="3:18" hidden="1" outlineLevel="1">
      <c r="C159" s="73" t="str">
        <v>SpareOfferC31</v>
      </c>
      <c r="D159" s="123">
        <v>0</v>
      </c>
      <c r="E159" s="139"/>
      <c r="F159" s="89">
        <v>0</v>
      </c>
      <c r="G159" s="122">
        <f t="shared" si="8"/>
        <v>0</v>
      </c>
      <c r="H159" s="89">
        <v>0</v>
      </c>
      <c r="I159" s="139"/>
      <c r="J159" s="138">
        <f t="shared" si="10"/>
        <v>0</v>
      </c>
      <c r="K159" s="105" t="str">
        <f t="shared" si="9"/>
        <v>N.a.</v>
      </c>
      <c r="O159" s="269"/>
      <c r="P159" s="269"/>
      <c r="Q159" s="269"/>
      <c r="R159" s="269"/>
    </row>
    <row r="160" spans="3:18" hidden="1" outlineLevel="1">
      <c r="C160" s="73" t="str">
        <v>SpareOfferC32</v>
      </c>
      <c r="D160" s="123">
        <v>0</v>
      </c>
      <c r="E160" s="139"/>
      <c r="F160" s="89">
        <v>0</v>
      </c>
      <c r="G160" s="122">
        <f t="shared" si="8"/>
        <v>0</v>
      </c>
      <c r="H160" s="89">
        <v>0</v>
      </c>
      <c r="I160" s="139"/>
      <c r="J160" s="138">
        <f t="shared" si="10"/>
        <v>0</v>
      </c>
      <c r="K160" s="105" t="str">
        <f t="shared" si="9"/>
        <v>N.a.</v>
      </c>
      <c r="O160" s="269"/>
      <c r="P160" s="269"/>
      <c r="Q160" s="269"/>
      <c r="R160" s="269"/>
    </row>
    <row r="161" spans="1:18" hidden="1" outlineLevel="1">
      <c r="C161" s="73" t="str">
        <v>SpareOfferC33</v>
      </c>
      <c r="D161" s="123">
        <v>0</v>
      </c>
      <c r="E161" s="139"/>
      <c r="F161" s="89">
        <v>0</v>
      </c>
      <c r="G161" s="122">
        <f t="shared" si="8"/>
        <v>0</v>
      </c>
      <c r="H161" s="89">
        <v>0</v>
      </c>
      <c r="I161" s="139"/>
      <c r="J161" s="138">
        <f t="shared" si="10"/>
        <v>0</v>
      </c>
      <c r="K161" s="105" t="str">
        <f t="shared" si="9"/>
        <v>N.a.</v>
      </c>
      <c r="O161" s="269"/>
      <c r="P161" s="269"/>
      <c r="Q161" s="269"/>
      <c r="R161" s="269"/>
    </row>
    <row r="162" spans="1:18" hidden="1" outlineLevel="1">
      <c r="C162" s="73" t="str">
        <v>SpareOfferC34</v>
      </c>
      <c r="D162" s="123">
        <v>0</v>
      </c>
      <c r="E162" s="139"/>
      <c r="F162" s="89">
        <v>0</v>
      </c>
      <c r="G162" s="122">
        <f t="shared" si="8"/>
        <v>0</v>
      </c>
      <c r="H162" s="89">
        <v>0</v>
      </c>
      <c r="I162" s="139"/>
      <c r="J162" s="138">
        <f t="shared" si="10"/>
        <v>0</v>
      </c>
      <c r="K162" s="105" t="str">
        <f t="shared" si="9"/>
        <v>N.a.</v>
      </c>
      <c r="O162" s="269"/>
      <c r="P162" s="269"/>
      <c r="Q162" s="269"/>
      <c r="R162" s="269"/>
    </row>
    <row r="163" spans="1:18" collapsed="1">
      <c r="C163" s="73" t="str">
        <v>SpareOfferC35</v>
      </c>
      <c r="D163" s="123">
        <v>0</v>
      </c>
      <c r="E163" s="139"/>
      <c r="F163" s="89">
        <v>0</v>
      </c>
      <c r="G163" s="122">
        <f t="shared" si="8"/>
        <v>0</v>
      </c>
      <c r="H163" s="89">
        <v>0</v>
      </c>
      <c r="I163" s="139"/>
      <c r="J163" s="138">
        <f t="shared" si="10"/>
        <v>0</v>
      </c>
      <c r="K163" s="105" t="str">
        <f t="shared" si="9"/>
        <v>N.a.</v>
      </c>
      <c r="O163" s="269"/>
      <c r="P163" s="269"/>
      <c r="Q163" s="269"/>
      <c r="R163" s="269"/>
    </row>
    <row r="164" spans="1:18">
      <c r="O164" s="269"/>
      <c r="P164" s="269"/>
      <c r="Q164" s="269"/>
      <c r="R164" s="269"/>
    </row>
    <row r="165" spans="1:18" s="207" customFormat="1">
      <c r="A165" s="207">
        <v>4</v>
      </c>
      <c r="B165" s="207" t="str">
        <f>INDEX(segments,A165)</f>
        <v>SpareSegmentD</v>
      </c>
    </row>
    <row r="166" spans="1:18">
      <c r="O166" s="269"/>
      <c r="P166" s="269"/>
      <c r="Q166" s="269"/>
      <c r="R166" s="269"/>
    </row>
    <row r="167" spans="1:18" ht="23">
      <c r="C167" s="1" t="s">
        <v>262</v>
      </c>
      <c r="D167" s="1" t="s">
        <v>169</v>
      </c>
      <c r="E167" s="1" t="s">
        <v>387</v>
      </c>
      <c r="F167" s="1" t="s">
        <v>173</v>
      </c>
      <c r="G167" s="1" t="s">
        <v>319</v>
      </c>
      <c r="H167" s="1" t="s">
        <v>219</v>
      </c>
      <c r="I167" s="1" t="s">
        <v>172</v>
      </c>
      <c r="J167" s="1" t="s">
        <v>199</v>
      </c>
      <c r="K167" s="1" t="s">
        <v>263</v>
      </c>
      <c r="M167" s="1" t="s">
        <v>667</v>
      </c>
      <c r="O167" s="269"/>
      <c r="P167" s="269"/>
      <c r="Q167" s="269"/>
      <c r="R167" s="269"/>
    </row>
    <row r="168" spans="1:18">
      <c r="C168" t="s">
        <v>7</v>
      </c>
      <c r="D168" s="89">
        <f>output.revenue.segment.4</f>
        <v>0</v>
      </c>
      <c r="E168" s="89">
        <f>output.additional.revenue.segment.4</f>
        <v>0</v>
      </c>
      <c r="F168" s="89">
        <f>-output.wholesale.costs.segment.4</f>
        <v>0</v>
      </c>
      <c r="G168" s="137">
        <f>-output.fixed.ws.segment.4</f>
        <v>0</v>
      </c>
      <c r="H168" s="89">
        <f>-output.interconnection.costs.segment.4</f>
        <v>0</v>
      </c>
      <c r="I168" s="89">
        <f>-output.retail.costs.segment.4</f>
        <v>0</v>
      </c>
      <c r="J168" s="138">
        <f>SUM(D168:I168)</f>
        <v>0</v>
      </c>
      <c r="K168" s="105" t="str">
        <f>IF((D168+E168)=0,label.not.applicable,J168/(D168+E168))</f>
        <v>N.a.</v>
      </c>
      <c r="M168" s="223">
        <f>output.average.cost.per.MB.segment.4</f>
        <v>0</v>
      </c>
      <c r="O168" s="269"/>
      <c r="P168" s="269"/>
      <c r="Q168" s="269"/>
      <c r="R168" s="269"/>
    </row>
    <row r="169" spans="1:18">
      <c r="O169" s="269"/>
      <c r="P169" s="269"/>
      <c r="Q169" s="269"/>
      <c r="R169" s="269"/>
    </row>
    <row r="170" spans="1:18" ht="23">
      <c r="C170" s="1" t="s">
        <v>150</v>
      </c>
      <c r="D170" s="1" t="s">
        <v>169</v>
      </c>
      <c r="E170" s="1" t="s">
        <v>387</v>
      </c>
      <c r="F170" s="1" t="s">
        <v>173</v>
      </c>
      <c r="G170" s="1" t="s">
        <v>319</v>
      </c>
      <c r="H170" s="1" t="s">
        <v>219</v>
      </c>
      <c r="I170" s="1" t="s">
        <v>172</v>
      </c>
      <c r="J170" s="1" t="s">
        <v>199</v>
      </c>
      <c r="K170" s="1" t="s">
        <v>149</v>
      </c>
      <c r="O170" s="269"/>
      <c r="P170" s="269"/>
      <c r="Q170" s="269"/>
      <c r="R170" s="269"/>
    </row>
    <row r="171" spans="1:18">
      <c r="C171" s="73" t="str">
        <f t="array" ref="C171:C205">offers.segment.4</f>
        <v>SpareOfferD1</v>
      </c>
      <c r="D171" s="123">
        <f t="array" ref="D171:D205">output.revenue.segment.4.offers</f>
        <v>0</v>
      </c>
      <c r="E171" s="139"/>
      <c r="F171" s="89">
        <f t="array" ref="F171:F205">-output.wholesale.costs.segment.4.offers</f>
        <v>0</v>
      </c>
      <c r="G171" s="122">
        <f t="shared" ref="G171:G205" si="11">IF($F$168=0, 0, IF(wholesale.offer.type.selected=lbl.SP,(F171+H171)/($F$168+$H$168)*$G$168,F171/$F$168*$G$168))</f>
        <v>0</v>
      </c>
      <c r="H171" s="89">
        <f t="array" ref="H171:H205">-output.interconnection.costs.segment.4.offers</f>
        <v>0</v>
      </c>
      <c r="I171" s="139"/>
      <c r="J171" s="138">
        <f>SUM(D171:I171)</f>
        <v>0</v>
      </c>
      <c r="K171" s="105" t="str">
        <f t="shared" ref="K171:K205" si="12">IF((D171+E171)=0,label.not.applicable,J171/(D171+E171))</f>
        <v>N.a.</v>
      </c>
      <c r="O171" s="269"/>
      <c r="P171" s="269"/>
      <c r="Q171" s="269"/>
      <c r="R171" s="269"/>
    </row>
    <row r="172" spans="1:18" hidden="1" outlineLevel="1">
      <c r="C172" s="73" t="str">
        <v>SpareOfferD2</v>
      </c>
      <c r="D172" s="123">
        <v>0</v>
      </c>
      <c r="E172" s="139"/>
      <c r="F172" s="89">
        <v>0</v>
      </c>
      <c r="G172" s="122">
        <f t="shared" si="11"/>
        <v>0</v>
      </c>
      <c r="H172" s="89">
        <v>0</v>
      </c>
      <c r="I172" s="139"/>
      <c r="J172" s="138">
        <f t="shared" ref="J172:J205" si="13">SUM(D172:I172)</f>
        <v>0</v>
      </c>
      <c r="K172" s="105" t="str">
        <f t="shared" si="12"/>
        <v>N.a.</v>
      </c>
      <c r="O172" s="269"/>
      <c r="P172" s="269"/>
      <c r="Q172" s="269"/>
      <c r="R172" s="269"/>
    </row>
    <row r="173" spans="1:18" hidden="1" outlineLevel="1">
      <c r="C173" s="73" t="str">
        <v>SpareOfferD3</v>
      </c>
      <c r="D173" s="123">
        <v>0</v>
      </c>
      <c r="E173" s="139"/>
      <c r="F173" s="89">
        <v>0</v>
      </c>
      <c r="G173" s="122">
        <f t="shared" si="11"/>
        <v>0</v>
      </c>
      <c r="H173" s="89">
        <v>0</v>
      </c>
      <c r="I173" s="139"/>
      <c r="J173" s="138">
        <f t="shared" si="13"/>
        <v>0</v>
      </c>
      <c r="K173" s="105" t="str">
        <f t="shared" si="12"/>
        <v>N.a.</v>
      </c>
      <c r="O173" s="269"/>
      <c r="P173" s="269"/>
      <c r="Q173" s="269"/>
      <c r="R173" s="269"/>
    </row>
    <row r="174" spans="1:18" hidden="1" outlineLevel="1">
      <c r="C174" s="73" t="str">
        <v>SpareOfferD4</v>
      </c>
      <c r="D174" s="123">
        <v>0</v>
      </c>
      <c r="E174" s="139"/>
      <c r="F174" s="89">
        <v>0</v>
      </c>
      <c r="G174" s="122">
        <f t="shared" si="11"/>
        <v>0</v>
      </c>
      <c r="H174" s="89">
        <v>0</v>
      </c>
      <c r="I174" s="139"/>
      <c r="J174" s="138">
        <f t="shared" si="13"/>
        <v>0</v>
      </c>
      <c r="K174" s="105" t="str">
        <f t="shared" si="12"/>
        <v>N.a.</v>
      </c>
      <c r="O174" s="269"/>
      <c r="P174" s="269"/>
      <c r="Q174" s="269"/>
      <c r="R174" s="269"/>
    </row>
    <row r="175" spans="1:18" hidden="1" outlineLevel="1">
      <c r="C175" s="73" t="str">
        <v>SpareOfferD5</v>
      </c>
      <c r="D175" s="123">
        <v>0</v>
      </c>
      <c r="E175" s="139"/>
      <c r="F175" s="89">
        <v>0</v>
      </c>
      <c r="G175" s="122">
        <f t="shared" si="11"/>
        <v>0</v>
      </c>
      <c r="H175" s="89">
        <v>0</v>
      </c>
      <c r="I175" s="139"/>
      <c r="J175" s="138">
        <f t="shared" si="13"/>
        <v>0</v>
      </c>
      <c r="K175" s="105" t="str">
        <f t="shared" si="12"/>
        <v>N.a.</v>
      </c>
      <c r="O175" s="269"/>
      <c r="P175" s="269"/>
      <c r="Q175" s="269"/>
      <c r="R175" s="269"/>
    </row>
    <row r="176" spans="1:18" hidden="1" outlineLevel="1">
      <c r="C176" s="73" t="str">
        <v>SpareOfferD6</v>
      </c>
      <c r="D176" s="123">
        <v>0</v>
      </c>
      <c r="E176" s="139"/>
      <c r="F176" s="89">
        <v>0</v>
      </c>
      <c r="G176" s="122">
        <f t="shared" si="11"/>
        <v>0</v>
      </c>
      <c r="H176" s="89">
        <v>0</v>
      </c>
      <c r="I176" s="139"/>
      <c r="J176" s="138">
        <f t="shared" si="13"/>
        <v>0</v>
      </c>
      <c r="K176" s="105" t="str">
        <f t="shared" si="12"/>
        <v>N.a.</v>
      </c>
      <c r="O176" s="269"/>
      <c r="P176" s="269"/>
      <c r="Q176" s="269"/>
      <c r="R176" s="269"/>
    </row>
    <row r="177" spans="3:18" hidden="1" outlineLevel="1">
      <c r="C177" s="73" t="str">
        <v>SpareOfferD7</v>
      </c>
      <c r="D177" s="123">
        <v>0</v>
      </c>
      <c r="E177" s="139"/>
      <c r="F177" s="89">
        <v>0</v>
      </c>
      <c r="G177" s="122">
        <f t="shared" si="11"/>
        <v>0</v>
      </c>
      <c r="H177" s="89">
        <v>0</v>
      </c>
      <c r="I177" s="139"/>
      <c r="J177" s="138">
        <f t="shared" si="13"/>
        <v>0</v>
      </c>
      <c r="K177" s="105" t="str">
        <f t="shared" si="12"/>
        <v>N.a.</v>
      </c>
      <c r="O177" s="269"/>
      <c r="P177" s="269"/>
      <c r="Q177" s="269"/>
      <c r="R177" s="269"/>
    </row>
    <row r="178" spans="3:18" hidden="1" outlineLevel="1">
      <c r="C178" s="73" t="str">
        <v>SpareOfferD8</v>
      </c>
      <c r="D178" s="123">
        <v>0</v>
      </c>
      <c r="E178" s="139"/>
      <c r="F178" s="89">
        <v>0</v>
      </c>
      <c r="G178" s="122">
        <f t="shared" si="11"/>
        <v>0</v>
      </c>
      <c r="H178" s="89">
        <v>0</v>
      </c>
      <c r="I178" s="139"/>
      <c r="J178" s="138">
        <f t="shared" si="13"/>
        <v>0</v>
      </c>
      <c r="K178" s="105" t="str">
        <f t="shared" si="12"/>
        <v>N.a.</v>
      </c>
      <c r="O178" s="269"/>
      <c r="P178" s="269"/>
      <c r="Q178" s="269"/>
      <c r="R178" s="269"/>
    </row>
    <row r="179" spans="3:18" hidden="1" outlineLevel="1">
      <c r="C179" s="73" t="str">
        <v>SpareOfferD9</v>
      </c>
      <c r="D179" s="123">
        <v>0</v>
      </c>
      <c r="E179" s="139"/>
      <c r="F179" s="89">
        <v>0</v>
      </c>
      <c r="G179" s="122">
        <f t="shared" si="11"/>
        <v>0</v>
      </c>
      <c r="H179" s="89">
        <v>0</v>
      </c>
      <c r="I179" s="139"/>
      <c r="J179" s="138">
        <f t="shared" si="13"/>
        <v>0</v>
      </c>
      <c r="K179" s="105" t="str">
        <f t="shared" si="12"/>
        <v>N.a.</v>
      </c>
      <c r="O179" s="269"/>
      <c r="P179" s="269"/>
      <c r="Q179" s="269"/>
      <c r="R179" s="269"/>
    </row>
    <row r="180" spans="3:18" hidden="1" outlineLevel="1">
      <c r="C180" s="73" t="str">
        <v>SpareOfferD10</v>
      </c>
      <c r="D180" s="123">
        <v>0</v>
      </c>
      <c r="E180" s="139"/>
      <c r="F180" s="89">
        <v>0</v>
      </c>
      <c r="G180" s="122">
        <f t="shared" si="11"/>
        <v>0</v>
      </c>
      <c r="H180" s="89">
        <v>0</v>
      </c>
      <c r="I180" s="139"/>
      <c r="J180" s="138">
        <f t="shared" si="13"/>
        <v>0</v>
      </c>
      <c r="K180" s="105" t="str">
        <f t="shared" si="12"/>
        <v>N.a.</v>
      </c>
      <c r="O180" s="269"/>
      <c r="P180" s="269"/>
      <c r="Q180" s="269"/>
      <c r="R180" s="269"/>
    </row>
    <row r="181" spans="3:18" hidden="1" outlineLevel="1">
      <c r="C181" s="73" t="str">
        <v>SpareOfferD11</v>
      </c>
      <c r="D181" s="123">
        <v>0</v>
      </c>
      <c r="E181" s="139"/>
      <c r="F181" s="89">
        <v>0</v>
      </c>
      <c r="G181" s="122">
        <f t="shared" si="11"/>
        <v>0</v>
      </c>
      <c r="H181" s="89">
        <v>0</v>
      </c>
      <c r="I181" s="139"/>
      <c r="J181" s="138">
        <f t="shared" si="13"/>
        <v>0</v>
      </c>
      <c r="K181" s="105" t="str">
        <f t="shared" si="12"/>
        <v>N.a.</v>
      </c>
      <c r="O181" s="269"/>
      <c r="P181" s="269"/>
      <c r="Q181" s="269"/>
      <c r="R181" s="269"/>
    </row>
    <row r="182" spans="3:18" hidden="1" outlineLevel="1">
      <c r="C182" s="73" t="str">
        <v>SpareOfferD12</v>
      </c>
      <c r="D182" s="123">
        <v>0</v>
      </c>
      <c r="E182" s="139"/>
      <c r="F182" s="89">
        <v>0</v>
      </c>
      <c r="G182" s="122">
        <f t="shared" si="11"/>
        <v>0</v>
      </c>
      <c r="H182" s="89">
        <v>0</v>
      </c>
      <c r="I182" s="139"/>
      <c r="J182" s="138">
        <f t="shared" si="13"/>
        <v>0</v>
      </c>
      <c r="K182" s="105" t="str">
        <f t="shared" si="12"/>
        <v>N.a.</v>
      </c>
      <c r="O182" s="269"/>
      <c r="P182" s="269"/>
      <c r="Q182" s="269"/>
      <c r="R182" s="269"/>
    </row>
    <row r="183" spans="3:18" hidden="1" outlineLevel="1">
      <c r="C183" s="73" t="str">
        <v>SpareOfferD13</v>
      </c>
      <c r="D183" s="123">
        <v>0</v>
      </c>
      <c r="E183" s="139"/>
      <c r="F183" s="89">
        <v>0</v>
      </c>
      <c r="G183" s="122">
        <f t="shared" si="11"/>
        <v>0</v>
      </c>
      <c r="H183" s="89">
        <v>0</v>
      </c>
      <c r="I183" s="139"/>
      <c r="J183" s="138">
        <f t="shared" si="13"/>
        <v>0</v>
      </c>
      <c r="K183" s="105" t="str">
        <f t="shared" si="12"/>
        <v>N.a.</v>
      </c>
      <c r="O183" s="269"/>
      <c r="P183" s="269"/>
      <c r="Q183" s="269"/>
      <c r="R183" s="269"/>
    </row>
    <row r="184" spans="3:18" hidden="1" outlineLevel="1">
      <c r="C184" s="73" t="str">
        <v>SpareOfferD14</v>
      </c>
      <c r="D184" s="123">
        <v>0</v>
      </c>
      <c r="E184" s="139"/>
      <c r="F184" s="89">
        <v>0</v>
      </c>
      <c r="G184" s="122">
        <f t="shared" si="11"/>
        <v>0</v>
      </c>
      <c r="H184" s="89">
        <v>0</v>
      </c>
      <c r="I184" s="139"/>
      <c r="J184" s="138">
        <f t="shared" si="13"/>
        <v>0</v>
      </c>
      <c r="K184" s="105" t="str">
        <f t="shared" si="12"/>
        <v>N.a.</v>
      </c>
      <c r="O184" s="269"/>
      <c r="P184" s="269"/>
      <c r="Q184" s="269"/>
      <c r="R184" s="269"/>
    </row>
    <row r="185" spans="3:18" hidden="1" outlineLevel="1">
      <c r="C185" s="73" t="str">
        <v>SpareOfferD15</v>
      </c>
      <c r="D185" s="123">
        <v>0</v>
      </c>
      <c r="E185" s="139"/>
      <c r="F185" s="89">
        <v>0</v>
      </c>
      <c r="G185" s="122">
        <f t="shared" si="11"/>
        <v>0</v>
      </c>
      <c r="H185" s="89">
        <v>0</v>
      </c>
      <c r="I185" s="139"/>
      <c r="J185" s="138">
        <f t="shared" si="13"/>
        <v>0</v>
      </c>
      <c r="K185" s="105" t="str">
        <f t="shared" si="12"/>
        <v>N.a.</v>
      </c>
      <c r="O185" s="269"/>
      <c r="P185" s="269"/>
      <c r="Q185" s="269"/>
      <c r="R185" s="269"/>
    </row>
    <row r="186" spans="3:18" hidden="1" outlineLevel="1">
      <c r="C186" s="73" t="str">
        <v>SpareOfferD16</v>
      </c>
      <c r="D186" s="123">
        <v>0</v>
      </c>
      <c r="E186" s="139"/>
      <c r="F186" s="89">
        <v>0</v>
      </c>
      <c r="G186" s="122">
        <f t="shared" si="11"/>
        <v>0</v>
      </c>
      <c r="H186" s="89">
        <v>0</v>
      </c>
      <c r="I186" s="139"/>
      <c r="J186" s="138">
        <f t="shared" si="13"/>
        <v>0</v>
      </c>
      <c r="K186" s="105" t="str">
        <f t="shared" si="12"/>
        <v>N.a.</v>
      </c>
      <c r="O186" s="269"/>
      <c r="P186" s="269"/>
      <c r="Q186" s="269"/>
      <c r="R186" s="269"/>
    </row>
    <row r="187" spans="3:18" hidden="1" outlineLevel="1">
      <c r="C187" s="73" t="str">
        <v>SpareOfferD17</v>
      </c>
      <c r="D187" s="123">
        <v>0</v>
      </c>
      <c r="E187" s="139"/>
      <c r="F187" s="89">
        <v>0</v>
      </c>
      <c r="G187" s="122">
        <f t="shared" si="11"/>
        <v>0</v>
      </c>
      <c r="H187" s="89">
        <v>0</v>
      </c>
      <c r="I187" s="139"/>
      <c r="J187" s="138">
        <f t="shared" si="13"/>
        <v>0</v>
      </c>
      <c r="K187" s="105" t="str">
        <f t="shared" si="12"/>
        <v>N.a.</v>
      </c>
      <c r="O187" s="269"/>
      <c r="P187" s="269"/>
      <c r="Q187" s="269"/>
      <c r="R187" s="269"/>
    </row>
    <row r="188" spans="3:18" hidden="1" outlineLevel="1">
      <c r="C188" s="73" t="str">
        <v>SpareOfferD18</v>
      </c>
      <c r="D188" s="123">
        <v>0</v>
      </c>
      <c r="E188" s="139"/>
      <c r="F188" s="89">
        <v>0</v>
      </c>
      <c r="G188" s="122">
        <f t="shared" si="11"/>
        <v>0</v>
      </c>
      <c r="H188" s="89">
        <v>0</v>
      </c>
      <c r="I188" s="139"/>
      <c r="J188" s="138">
        <f t="shared" si="13"/>
        <v>0</v>
      </c>
      <c r="K188" s="105" t="str">
        <f t="shared" si="12"/>
        <v>N.a.</v>
      </c>
      <c r="O188" s="269"/>
      <c r="P188" s="269"/>
      <c r="Q188" s="269"/>
      <c r="R188" s="269"/>
    </row>
    <row r="189" spans="3:18" hidden="1" outlineLevel="1">
      <c r="C189" s="73" t="str">
        <v>SpareOfferD19</v>
      </c>
      <c r="D189" s="123">
        <v>0</v>
      </c>
      <c r="E189" s="139"/>
      <c r="F189" s="89">
        <v>0</v>
      </c>
      <c r="G189" s="122">
        <f t="shared" si="11"/>
        <v>0</v>
      </c>
      <c r="H189" s="89">
        <v>0</v>
      </c>
      <c r="I189" s="139"/>
      <c r="J189" s="138">
        <f t="shared" si="13"/>
        <v>0</v>
      </c>
      <c r="K189" s="105" t="str">
        <f t="shared" si="12"/>
        <v>N.a.</v>
      </c>
      <c r="O189" s="269"/>
      <c r="P189" s="269"/>
      <c r="Q189" s="269"/>
      <c r="R189" s="269"/>
    </row>
    <row r="190" spans="3:18" hidden="1" outlineLevel="1">
      <c r="C190" s="73" t="str">
        <v>SpareOfferD20</v>
      </c>
      <c r="D190" s="123">
        <v>0</v>
      </c>
      <c r="E190" s="139"/>
      <c r="F190" s="89">
        <v>0</v>
      </c>
      <c r="G190" s="122">
        <f t="shared" si="11"/>
        <v>0</v>
      </c>
      <c r="H190" s="89">
        <v>0</v>
      </c>
      <c r="I190" s="139"/>
      <c r="J190" s="138">
        <f t="shared" si="13"/>
        <v>0</v>
      </c>
      <c r="K190" s="105" t="str">
        <f t="shared" si="12"/>
        <v>N.a.</v>
      </c>
      <c r="O190" s="269"/>
      <c r="P190" s="269"/>
      <c r="Q190" s="269"/>
      <c r="R190" s="269"/>
    </row>
    <row r="191" spans="3:18" hidden="1" outlineLevel="1">
      <c r="C191" s="73" t="str">
        <v>SpareOfferD21</v>
      </c>
      <c r="D191" s="123">
        <v>0</v>
      </c>
      <c r="E191" s="139"/>
      <c r="F191" s="89">
        <v>0</v>
      </c>
      <c r="G191" s="122">
        <f t="shared" si="11"/>
        <v>0</v>
      </c>
      <c r="H191" s="89">
        <v>0</v>
      </c>
      <c r="I191" s="139"/>
      <c r="J191" s="138">
        <f t="shared" si="13"/>
        <v>0</v>
      </c>
      <c r="K191" s="105" t="str">
        <f t="shared" si="12"/>
        <v>N.a.</v>
      </c>
      <c r="O191" s="269"/>
      <c r="P191" s="269"/>
      <c r="Q191" s="269"/>
      <c r="R191" s="269"/>
    </row>
    <row r="192" spans="3:18" hidden="1" outlineLevel="1">
      <c r="C192" s="73" t="str">
        <v>SpareOfferD22</v>
      </c>
      <c r="D192" s="123">
        <v>0</v>
      </c>
      <c r="E192" s="139"/>
      <c r="F192" s="89">
        <v>0</v>
      </c>
      <c r="G192" s="122">
        <f t="shared" si="11"/>
        <v>0</v>
      </c>
      <c r="H192" s="89">
        <v>0</v>
      </c>
      <c r="I192" s="139"/>
      <c r="J192" s="138">
        <f t="shared" si="13"/>
        <v>0</v>
      </c>
      <c r="K192" s="105" t="str">
        <f t="shared" si="12"/>
        <v>N.a.</v>
      </c>
      <c r="O192" s="269"/>
      <c r="P192" s="269"/>
      <c r="Q192" s="269"/>
      <c r="R192" s="269"/>
    </row>
    <row r="193" spans="3:18" hidden="1" outlineLevel="1">
      <c r="C193" s="73" t="str">
        <v>SpareOfferD23</v>
      </c>
      <c r="D193" s="123">
        <v>0</v>
      </c>
      <c r="E193" s="139"/>
      <c r="F193" s="89">
        <v>0</v>
      </c>
      <c r="G193" s="122">
        <f t="shared" si="11"/>
        <v>0</v>
      </c>
      <c r="H193" s="89">
        <v>0</v>
      </c>
      <c r="I193" s="139"/>
      <c r="J193" s="138">
        <f t="shared" si="13"/>
        <v>0</v>
      </c>
      <c r="K193" s="105" t="str">
        <f t="shared" si="12"/>
        <v>N.a.</v>
      </c>
      <c r="O193" s="269"/>
      <c r="P193" s="269"/>
      <c r="Q193" s="269"/>
      <c r="R193" s="269"/>
    </row>
    <row r="194" spans="3:18" hidden="1" outlineLevel="1">
      <c r="C194" s="73" t="str">
        <v>SpareOfferD24</v>
      </c>
      <c r="D194" s="123">
        <v>0</v>
      </c>
      <c r="E194" s="139"/>
      <c r="F194" s="89">
        <v>0</v>
      </c>
      <c r="G194" s="122">
        <f t="shared" si="11"/>
        <v>0</v>
      </c>
      <c r="H194" s="89">
        <v>0</v>
      </c>
      <c r="I194" s="139"/>
      <c r="J194" s="138">
        <f t="shared" si="13"/>
        <v>0</v>
      </c>
      <c r="K194" s="105" t="str">
        <f t="shared" si="12"/>
        <v>N.a.</v>
      </c>
      <c r="O194" s="269"/>
      <c r="P194" s="269"/>
      <c r="Q194" s="269"/>
      <c r="R194" s="269"/>
    </row>
    <row r="195" spans="3:18" hidden="1" outlineLevel="1">
      <c r="C195" s="73" t="str">
        <v>SpareOfferD25</v>
      </c>
      <c r="D195" s="123">
        <v>0</v>
      </c>
      <c r="E195" s="139"/>
      <c r="F195" s="89">
        <v>0</v>
      </c>
      <c r="G195" s="122">
        <f t="shared" si="11"/>
        <v>0</v>
      </c>
      <c r="H195" s="89">
        <v>0</v>
      </c>
      <c r="I195" s="139"/>
      <c r="J195" s="138">
        <f t="shared" si="13"/>
        <v>0</v>
      </c>
      <c r="K195" s="105" t="str">
        <f t="shared" si="12"/>
        <v>N.a.</v>
      </c>
      <c r="O195" s="269"/>
      <c r="P195" s="269"/>
      <c r="Q195" s="269"/>
      <c r="R195" s="269"/>
    </row>
    <row r="196" spans="3:18" hidden="1" outlineLevel="1">
      <c r="C196" s="73" t="str">
        <v>SpareOfferD26</v>
      </c>
      <c r="D196" s="123">
        <v>0</v>
      </c>
      <c r="E196" s="139"/>
      <c r="F196" s="89">
        <v>0</v>
      </c>
      <c r="G196" s="122">
        <f t="shared" si="11"/>
        <v>0</v>
      </c>
      <c r="H196" s="89">
        <v>0</v>
      </c>
      <c r="I196" s="139"/>
      <c r="J196" s="138">
        <f t="shared" si="13"/>
        <v>0</v>
      </c>
      <c r="K196" s="105" t="str">
        <f t="shared" si="12"/>
        <v>N.a.</v>
      </c>
      <c r="O196" s="269"/>
      <c r="P196" s="269"/>
      <c r="Q196" s="269"/>
      <c r="R196" s="269"/>
    </row>
    <row r="197" spans="3:18" hidden="1" outlineLevel="1">
      <c r="C197" s="73" t="str">
        <v>SpareOfferD27</v>
      </c>
      <c r="D197" s="123">
        <v>0</v>
      </c>
      <c r="E197" s="139"/>
      <c r="F197" s="89">
        <v>0</v>
      </c>
      <c r="G197" s="122">
        <f t="shared" si="11"/>
        <v>0</v>
      </c>
      <c r="H197" s="89">
        <v>0</v>
      </c>
      <c r="I197" s="139"/>
      <c r="J197" s="138">
        <f t="shared" si="13"/>
        <v>0</v>
      </c>
      <c r="K197" s="105" t="str">
        <f t="shared" si="12"/>
        <v>N.a.</v>
      </c>
      <c r="O197" s="269"/>
      <c r="P197" s="269"/>
      <c r="Q197" s="269"/>
      <c r="R197" s="269"/>
    </row>
    <row r="198" spans="3:18" hidden="1" outlineLevel="1">
      <c r="C198" s="73" t="str">
        <v>SpareOfferD28</v>
      </c>
      <c r="D198" s="123">
        <v>0</v>
      </c>
      <c r="E198" s="139"/>
      <c r="F198" s="89">
        <v>0</v>
      </c>
      <c r="G198" s="122">
        <f t="shared" si="11"/>
        <v>0</v>
      </c>
      <c r="H198" s="89">
        <v>0</v>
      </c>
      <c r="I198" s="139"/>
      <c r="J198" s="138">
        <f t="shared" si="13"/>
        <v>0</v>
      </c>
      <c r="K198" s="105" t="str">
        <f t="shared" si="12"/>
        <v>N.a.</v>
      </c>
      <c r="O198" s="269"/>
      <c r="P198" s="269"/>
      <c r="Q198" s="269"/>
      <c r="R198" s="269"/>
    </row>
    <row r="199" spans="3:18" hidden="1" outlineLevel="1">
      <c r="C199" s="73" t="str">
        <v>SpareOfferD29</v>
      </c>
      <c r="D199" s="123">
        <v>0</v>
      </c>
      <c r="E199" s="139"/>
      <c r="F199" s="89">
        <v>0</v>
      </c>
      <c r="G199" s="122">
        <f t="shared" si="11"/>
        <v>0</v>
      </c>
      <c r="H199" s="89">
        <v>0</v>
      </c>
      <c r="I199" s="139"/>
      <c r="J199" s="138">
        <f t="shared" si="13"/>
        <v>0</v>
      </c>
      <c r="K199" s="105" t="str">
        <f t="shared" si="12"/>
        <v>N.a.</v>
      </c>
      <c r="O199" s="269"/>
      <c r="P199" s="269"/>
      <c r="Q199" s="269"/>
      <c r="R199" s="269"/>
    </row>
    <row r="200" spans="3:18" hidden="1" outlineLevel="1">
      <c r="C200" s="73" t="str">
        <v>SpareOfferD30</v>
      </c>
      <c r="D200" s="123">
        <v>0</v>
      </c>
      <c r="E200" s="139"/>
      <c r="F200" s="89">
        <v>0</v>
      </c>
      <c r="G200" s="122">
        <f t="shared" si="11"/>
        <v>0</v>
      </c>
      <c r="H200" s="89">
        <v>0</v>
      </c>
      <c r="I200" s="139"/>
      <c r="J200" s="138">
        <f t="shared" si="13"/>
        <v>0</v>
      </c>
      <c r="K200" s="105" t="str">
        <f t="shared" si="12"/>
        <v>N.a.</v>
      </c>
      <c r="O200" s="269"/>
      <c r="P200" s="269"/>
      <c r="Q200" s="269"/>
      <c r="R200" s="269"/>
    </row>
    <row r="201" spans="3:18" hidden="1" outlineLevel="1">
      <c r="C201" s="73" t="str">
        <v>SpareOfferD31</v>
      </c>
      <c r="D201" s="123">
        <v>0</v>
      </c>
      <c r="E201" s="139"/>
      <c r="F201" s="89">
        <v>0</v>
      </c>
      <c r="G201" s="122">
        <f t="shared" si="11"/>
        <v>0</v>
      </c>
      <c r="H201" s="89">
        <v>0</v>
      </c>
      <c r="I201" s="139"/>
      <c r="J201" s="138">
        <f t="shared" si="13"/>
        <v>0</v>
      </c>
      <c r="K201" s="105" t="str">
        <f t="shared" si="12"/>
        <v>N.a.</v>
      </c>
      <c r="O201" s="269"/>
      <c r="P201" s="269"/>
      <c r="Q201" s="269"/>
      <c r="R201" s="269"/>
    </row>
    <row r="202" spans="3:18" hidden="1" outlineLevel="1">
      <c r="C202" s="73" t="str">
        <v>SpareOfferD32</v>
      </c>
      <c r="D202" s="123">
        <v>0</v>
      </c>
      <c r="E202" s="139"/>
      <c r="F202" s="89">
        <v>0</v>
      </c>
      <c r="G202" s="122">
        <f t="shared" si="11"/>
        <v>0</v>
      </c>
      <c r="H202" s="89">
        <v>0</v>
      </c>
      <c r="I202" s="139"/>
      <c r="J202" s="138">
        <f t="shared" si="13"/>
        <v>0</v>
      </c>
      <c r="K202" s="105" t="str">
        <f t="shared" si="12"/>
        <v>N.a.</v>
      </c>
      <c r="O202" s="269"/>
      <c r="P202" s="269"/>
      <c r="Q202" s="269"/>
      <c r="R202" s="269"/>
    </row>
    <row r="203" spans="3:18" hidden="1" outlineLevel="1">
      <c r="C203" s="73" t="str">
        <v>SpareOfferD33</v>
      </c>
      <c r="D203" s="123">
        <v>0</v>
      </c>
      <c r="E203" s="139"/>
      <c r="F203" s="89">
        <v>0</v>
      </c>
      <c r="G203" s="122">
        <f t="shared" si="11"/>
        <v>0</v>
      </c>
      <c r="H203" s="89">
        <v>0</v>
      </c>
      <c r="I203" s="139"/>
      <c r="J203" s="138">
        <f t="shared" si="13"/>
        <v>0</v>
      </c>
      <c r="K203" s="105" t="str">
        <f t="shared" si="12"/>
        <v>N.a.</v>
      </c>
      <c r="O203" s="269"/>
      <c r="P203" s="269"/>
      <c r="Q203" s="269"/>
      <c r="R203" s="269"/>
    </row>
    <row r="204" spans="3:18" hidden="1" outlineLevel="1">
      <c r="C204" s="73" t="str">
        <v>SpareOfferD34</v>
      </c>
      <c r="D204" s="123">
        <v>0</v>
      </c>
      <c r="E204" s="139"/>
      <c r="F204" s="89">
        <v>0</v>
      </c>
      <c r="G204" s="122">
        <f t="shared" si="11"/>
        <v>0</v>
      </c>
      <c r="H204" s="89">
        <v>0</v>
      </c>
      <c r="I204" s="139"/>
      <c r="J204" s="138">
        <f t="shared" si="13"/>
        <v>0</v>
      </c>
      <c r="K204" s="105" t="str">
        <f t="shared" si="12"/>
        <v>N.a.</v>
      </c>
      <c r="O204" s="269"/>
      <c r="P204" s="269"/>
      <c r="Q204" s="269"/>
      <c r="R204" s="269"/>
    </row>
    <row r="205" spans="3:18" collapsed="1">
      <c r="C205" s="73" t="str">
        <v>-</v>
      </c>
      <c r="D205" s="123">
        <v>0</v>
      </c>
      <c r="E205" s="139"/>
      <c r="F205" s="89">
        <v>0</v>
      </c>
      <c r="G205" s="122">
        <f t="shared" si="11"/>
        <v>0</v>
      </c>
      <c r="H205" s="89">
        <v>0</v>
      </c>
      <c r="I205" s="139"/>
      <c r="J205" s="138">
        <f t="shared" si="13"/>
        <v>0</v>
      </c>
      <c r="K205" s="105" t="str">
        <f t="shared" si="12"/>
        <v>N.a.</v>
      </c>
      <c r="O205" s="269"/>
      <c r="P205" s="269"/>
      <c r="Q205" s="269"/>
      <c r="R205" s="269"/>
    </row>
  </sheetData>
  <phoneticPr fontId="0" type="noConversion"/>
  <conditionalFormatting sqref="D14">
    <cfRule type="expression" dxfId="10" priority="1">
      <formula>D14&lt;&gt;0</formula>
    </cfRule>
  </conditionalFormatting>
  <conditionalFormatting sqref="E5">
    <cfRule type="expression" dxfId="9" priority="2">
      <formula>SUM($D$6:$D$12)&gt;0</formula>
    </cfRule>
  </conditionalFormatting>
  <dataValidations disablePrompts="1" count="3">
    <dataValidation type="list" allowBlank="1" showInputMessage="1" showErrorMessage="1" sqref="D20" xr:uid="{0532BAD4-B90C-4568-A8D9-BE3DDAC3ABDB}">
      <formula1>wholesale.offers</formula1>
    </dataValidation>
    <dataValidation type="list" allowBlank="1" showInputMessage="1" showErrorMessage="1" sqref="D30" xr:uid="{00000000-0002-0000-0400-000001000000}">
      <formula1>cost.trend.options</formula1>
    </dataValidation>
    <dataValidation type="list" allowBlank="1" showInputMessage="1" showErrorMessage="1" sqref="D29 O36" xr:uid="{00000000-0002-0000-0400-000002000000}">
      <formula1>list.data.speed.choices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autoPageBreaks="0"/>
  </sheetPr>
  <dimension ref="B1:AC580"/>
  <sheetViews>
    <sheetView showGridLines="0" defaultGridColor="0" colorId="22" zoomScaleNormal="100" workbookViewId="0">
      <pane xSplit="3" ySplit="2" topLeftCell="D3" activePane="bottomRight" state="frozen"/>
      <selection pane="topRight"/>
      <selection pane="bottomLeft"/>
      <selection pane="bottomRight"/>
    </sheetView>
  </sheetViews>
  <sheetFormatPr baseColWidth="10" defaultColWidth="12.69921875" defaultRowHeight="11.5" outlineLevelRow="1"/>
  <cols>
    <col min="1" max="1" width="6.69921875" customWidth="1"/>
    <col min="2" max="2" width="4.8984375" customWidth="1"/>
    <col min="3" max="3" width="24.59765625" customWidth="1"/>
    <col min="4" max="28" width="16" customWidth="1"/>
  </cols>
  <sheetData>
    <row r="1" spans="2:29" s="84" customFormat="1" ht="33.75" customHeight="1">
      <c r="D1" s="84" t="s">
        <v>216</v>
      </c>
      <c r="F1"/>
    </row>
    <row r="4" spans="2:29" ht="15.5">
      <c r="B4" s="36" t="s">
        <v>442</v>
      </c>
    </row>
    <row r="5" spans="2:29">
      <c r="D5" s="1"/>
      <c r="E5" s="187" t="s">
        <v>427</v>
      </c>
      <c r="F5" s="187"/>
      <c r="G5" s="187"/>
      <c r="H5" s="187"/>
      <c r="I5" s="187"/>
      <c r="J5" s="188" t="s">
        <v>428</v>
      </c>
      <c r="K5" s="188"/>
      <c r="L5" s="188"/>
      <c r="M5" s="189" t="s">
        <v>429</v>
      </c>
      <c r="N5" s="189"/>
      <c r="O5" s="189"/>
      <c r="P5" s="189"/>
      <c r="Q5" s="189"/>
      <c r="R5" s="189"/>
      <c r="S5" s="189"/>
      <c r="T5" s="189"/>
      <c r="U5" s="189"/>
      <c r="V5" s="189"/>
      <c r="W5" s="189"/>
      <c r="X5" s="190" t="s">
        <v>430</v>
      </c>
      <c r="Y5" s="190"/>
      <c r="Z5" s="191" t="s">
        <v>139</v>
      </c>
      <c r="AA5" s="191"/>
      <c r="AB5" s="191"/>
    </row>
    <row r="6" spans="2:29" ht="69">
      <c r="C6" s="1" t="s">
        <v>309</v>
      </c>
      <c r="D6" s="1" t="s">
        <v>885</v>
      </c>
      <c r="E6" s="192" t="s">
        <v>886</v>
      </c>
      <c r="F6" s="192" t="s">
        <v>887</v>
      </c>
      <c r="G6" s="193" t="s">
        <v>888</v>
      </c>
      <c r="H6" s="193" t="s">
        <v>889</v>
      </c>
      <c r="I6" s="194" t="s">
        <v>890</v>
      </c>
      <c r="J6" s="195" t="s">
        <v>891</v>
      </c>
      <c r="K6" s="195" t="s">
        <v>892</v>
      </c>
      <c r="L6" s="195" t="s">
        <v>434</v>
      </c>
      <c r="M6" s="196" t="s">
        <v>893</v>
      </c>
      <c r="N6" s="196" t="s">
        <v>894</v>
      </c>
      <c r="O6" s="196" t="s">
        <v>895</v>
      </c>
      <c r="P6" s="196" t="s">
        <v>896</v>
      </c>
      <c r="Q6" s="197" t="s">
        <v>897</v>
      </c>
      <c r="R6" s="198" t="s">
        <v>898</v>
      </c>
      <c r="S6" s="198" t="s">
        <v>899</v>
      </c>
      <c r="T6" s="198" t="s">
        <v>900</v>
      </c>
      <c r="U6" s="199" t="s">
        <v>901</v>
      </c>
      <c r="V6" s="199" t="s">
        <v>902</v>
      </c>
      <c r="W6" s="199" t="s">
        <v>903</v>
      </c>
      <c r="X6" s="200" t="s">
        <v>904</v>
      </c>
      <c r="Y6" s="200" t="s">
        <v>905</v>
      </c>
      <c r="Z6" s="191" t="s">
        <v>877</v>
      </c>
      <c r="AA6" s="191" t="s">
        <v>877</v>
      </c>
      <c r="AB6" s="191" t="s">
        <v>877</v>
      </c>
      <c r="AC6" s="43" t="s">
        <v>444</v>
      </c>
    </row>
    <row r="7" spans="2:29">
      <c r="C7" s="201" t="str">
        <f t="array" ref="C7:C41">offers.segment.1</f>
        <v>SpareOfferA1</v>
      </c>
      <c r="D7" s="316"/>
      <c r="E7" s="316"/>
      <c r="F7" s="316"/>
      <c r="G7" s="316"/>
      <c r="H7" s="316"/>
      <c r="I7" s="316"/>
      <c r="J7" s="316"/>
      <c r="K7" s="316"/>
      <c r="L7" s="316"/>
      <c r="M7" s="316"/>
      <c r="N7" s="316"/>
      <c r="O7" s="316"/>
      <c r="P7" s="316"/>
      <c r="Q7" s="316"/>
      <c r="R7" s="316"/>
      <c r="S7" s="316"/>
      <c r="T7" s="316"/>
      <c r="U7" s="316"/>
      <c r="V7" s="316"/>
      <c r="W7" s="316"/>
      <c r="X7" s="316"/>
      <c r="Y7" s="316"/>
      <c r="Z7" s="317"/>
      <c r="AA7" s="317"/>
      <c r="AB7" s="317"/>
    </row>
    <row r="8" spans="2:29" hidden="1" outlineLevel="1">
      <c r="C8" s="201" t="str">
        <v>SpareOfferA2</v>
      </c>
      <c r="D8" s="316"/>
      <c r="E8" s="316"/>
      <c r="F8" s="316"/>
      <c r="G8" s="316"/>
      <c r="H8" s="316"/>
      <c r="I8" s="316"/>
      <c r="J8" s="316"/>
      <c r="K8" s="316"/>
      <c r="L8" s="316"/>
      <c r="M8" s="316"/>
      <c r="N8" s="316"/>
      <c r="O8" s="316"/>
      <c r="P8" s="316"/>
      <c r="Q8" s="316"/>
      <c r="R8" s="316"/>
      <c r="S8" s="316"/>
      <c r="T8" s="316"/>
      <c r="U8" s="316"/>
      <c r="V8" s="316"/>
      <c r="W8" s="316"/>
      <c r="X8" s="316"/>
      <c r="Y8" s="316"/>
      <c r="Z8" s="317"/>
      <c r="AA8" s="317"/>
      <c r="AB8" s="317"/>
    </row>
    <row r="9" spans="2:29" hidden="1" outlineLevel="1">
      <c r="C9" s="201" t="str">
        <v>SpareOfferA3</v>
      </c>
      <c r="D9" s="316"/>
      <c r="E9" s="316"/>
      <c r="F9" s="316"/>
      <c r="G9" s="316"/>
      <c r="H9" s="316"/>
      <c r="I9" s="316"/>
      <c r="J9" s="316"/>
      <c r="K9" s="316"/>
      <c r="L9" s="316"/>
      <c r="M9" s="316"/>
      <c r="N9" s="316"/>
      <c r="O9" s="316"/>
      <c r="P9" s="316"/>
      <c r="Q9" s="316"/>
      <c r="R9" s="316"/>
      <c r="S9" s="316"/>
      <c r="T9" s="316"/>
      <c r="U9" s="316"/>
      <c r="V9" s="316"/>
      <c r="W9" s="316"/>
      <c r="X9" s="316"/>
      <c r="Y9" s="316"/>
      <c r="Z9" s="317"/>
      <c r="AA9" s="317"/>
      <c r="AB9" s="317"/>
    </row>
    <row r="10" spans="2:29" hidden="1" outlineLevel="1">
      <c r="C10" s="201" t="str">
        <v>SpareOfferA4</v>
      </c>
      <c r="D10" s="316"/>
      <c r="E10" s="316"/>
      <c r="F10" s="316"/>
      <c r="G10" s="316"/>
      <c r="H10" s="316"/>
      <c r="I10" s="316"/>
      <c r="J10" s="316"/>
      <c r="K10" s="316"/>
      <c r="L10" s="316"/>
      <c r="M10" s="316"/>
      <c r="N10" s="316"/>
      <c r="O10" s="316"/>
      <c r="P10" s="316"/>
      <c r="Q10" s="316"/>
      <c r="R10" s="316"/>
      <c r="S10" s="316"/>
      <c r="T10" s="316"/>
      <c r="U10" s="316"/>
      <c r="V10" s="316"/>
      <c r="W10" s="316"/>
      <c r="X10" s="316"/>
      <c r="Y10" s="316"/>
      <c r="Z10" s="317"/>
      <c r="AA10" s="317"/>
      <c r="AB10" s="317"/>
    </row>
    <row r="11" spans="2:29" hidden="1" outlineLevel="1">
      <c r="C11" s="201" t="str">
        <v>SpareOfferA5</v>
      </c>
      <c r="D11" s="316"/>
      <c r="E11" s="316"/>
      <c r="F11" s="316"/>
      <c r="G11" s="316"/>
      <c r="H11" s="316"/>
      <c r="I11" s="316"/>
      <c r="J11" s="316"/>
      <c r="K11" s="316"/>
      <c r="L11" s="316"/>
      <c r="M11" s="316"/>
      <c r="N11" s="316"/>
      <c r="O11" s="316"/>
      <c r="P11" s="316"/>
      <c r="Q11" s="316"/>
      <c r="R11" s="316"/>
      <c r="S11" s="316"/>
      <c r="T11" s="316"/>
      <c r="U11" s="316"/>
      <c r="V11" s="316"/>
      <c r="W11" s="316"/>
      <c r="X11" s="316"/>
      <c r="Y11" s="316"/>
      <c r="Z11" s="317"/>
      <c r="AA11" s="317"/>
      <c r="AB11" s="317"/>
    </row>
    <row r="12" spans="2:29" hidden="1" outlineLevel="1">
      <c r="C12" s="201" t="str">
        <v>SpareOfferA6</v>
      </c>
      <c r="D12" s="316"/>
      <c r="E12" s="316"/>
      <c r="F12" s="316"/>
      <c r="G12" s="316"/>
      <c r="H12" s="316"/>
      <c r="I12" s="316"/>
      <c r="J12" s="316"/>
      <c r="K12" s="316"/>
      <c r="L12" s="316"/>
      <c r="M12" s="316"/>
      <c r="N12" s="316"/>
      <c r="O12" s="316"/>
      <c r="P12" s="316"/>
      <c r="Q12" s="316"/>
      <c r="R12" s="316"/>
      <c r="S12" s="316"/>
      <c r="T12" s="316"/>
      <c r="U12" s="316"/>
      <c r="V12" s="316"/>
      <c r="W12" s="316"/>
      <c r="X12" s="316"/>
      <c r="Y12" s="316"/>
      <c r="Z12" s="317"/>
      <c r="AA12" s="317"/>
      <c r="AB12" s="317"/>
    </row>
    <row r="13" spans="2:29" hidden="1" outlineLevel="1">
      <c r="C13" s="201" t="str">
        <v>SpareOfferA7</v>
      </c>
      <c r="D13" s="316"/>
      <c r="E13" s="316"/>
      <c r="F13" s="316"/>
      <c r="G13" s="316"/>
      <c r="H13" s="316"/>
      <c r="I13" s="316"/>
      <c r="J13" s="316"/>
      <c r="K13" s="316"/>
      <c r="L13" s="316"/>
      <c r="M13" s="316"/>
      <c r="N13" s="316"/>
      <c r="O13" s="316"/>
      <c r="P13" s="316"/>
      <c r="Q13" s="316"/>
      <c r="R13" s="316"/>
      <c r="S13" s="316"/>
      <c r="T13" s="316"/>
      <c r="U13" s="316"/>
      <c r="V13" s="316"/>
      <c r="W13" s="316"/>
      <c r="X13" s="316"/>
      <c r="Y13" s="316"/>
      <c r="Z13" s="317"/>
      <c r="AA13" s="317"/>
      <c r="AB13" s="317"/>
    </row>
    <row r="14" spans="2:29" hidden="1" outlineLevel="1">
      <c r="C14" s="201" t="str">
        <v>SpareOfferA8</v>
      </c>
      <c r="D14" s="316"/>
      <c r="E14" s="316"/>
      <c r="F14" s="316"/>
      <c r="G14" s="316"/>
      <c r="H14" s="316"/>
      <c r="I14" s="316"/>
      <c r="J14" s="316"/>
      <c r="K14" s="316"/>
      <c r="L14" s="316"/>
      <c r="M14" s="316"/>
      <c r="N14" s="316"/>
      <c r="O14" s="316"/>
      <c r="P14" s="316"/>
      <c r="Q14" s="316"/>
      <c r="R14" s="316"/>
      <c r="S14" s="316"/>
      <c r="T14" s="316"/>
      <c r="U14" s="316"/>
      <c r="V14" s="316"/>
      <c r="W14" s="316"/>
      <c r="X14" s="316"/>
      <c r="Y14" s="316"/>
      <c r="Z14" s="317"/>
      <c r="AA14" s="317"/>
      <c r="AB14" s="317"/>
    </row>
    <row r="15" spans="2:29" hidden="1" outlineLevel="1">
      <c r="C15" s="201" t="str">
        <v>SpareOfferA9</v>
      </c>
      <c r="D15" s="316"/>
      <c r="E15" s="316"/>
      <c r="F15" s="316"/>
      <c r="G15" s="316"/>
      <c r="H15" s="316"/>
      <c r="I15" s="316"/>
      <c r="J15" s="316"/>
      <c r="K15" s="316"/>
      <c r="L15" s="316"/>
      <c r="M15" s="316"/>
      <c r="N15" s="316"/>
      <c r="O15" s="316"/>
      <c r="P15" s="316"/>
      <c r="Q15" s="316"/>
      <c r="R15" s="316"/>
      <c r="S15" s="316"/>
      <c r="T15" s="316"/>
      <c r="U15" s="316"/>
      <c r="V15" s="316"/>
      <c r="W15" s="316"/>
      <c r="X15" s="316"/>
      <c r="Y15" s="316"/>
      <c r="Z15" s="317"/>
      <c r="AA15" s="317"/>
      <c r="AB15" s="317"/>
    </row>
    <row r="16" spans="2:29" hidden="1" outlineLevel="1">
      <c r="C16" s="201" t="str">
        <v>SpareOfferA10</v>
      </c>
      <c r="D16" s="316"/>
      <c r="E16" s="316"/>
      <c r="F16" s="316"/>
      <c r="G16" s="316"/>
      <c r="H16" s="316"/>
      <c r="I16" s="316"/>
      <c r="J16" s="316"/>
      <c r="K16" s="316"/>
      <c r="L16" s="316"/>
      <c r="M16" s="316"/>
      <c r="N16" s="316"/>
      <c r="O16" s="316"/>
      <c r="P16" s="316"/>
      <c r="Q16" s="316"/>
      <c r="R16" s="316"/>
      <c r="S16" s="316"/>
      <c r="T16" s="316"/>
      <c r="U16" s="316"/>
      <c r="V16" s="316"/>
      <c r="W16" s="316"/>
      <c r="X16" s="316"/>
      <c r="Y16" s="316"/>
      <c r="Z16" s="317"/>
      <c r="AA16" s="317"/>
      <c r="AB16" s="317"/>
    </row>
    <row r="17" spans="3:28" hidden="1" outlineLevel="1">
      <c r="C17" s="201" t="str">
        <v>SpareOfferA11</v>
      </c>
      <c r="D17" s="316"/>
      <c r="E17" s="316"/>
      <c r="F17" s="316"/>
      <c r="G17" s="316"/>
      <c r="H17" s="316"/>
      <c r="I17" s="316"/>
      <c r="J17" s="316"/>
      <c r="K17" s="316"/>
      <c r="L17" s="316"/>
      <c r="M17" s="316"/>
      <c r="N17" s="316"/>
      <c r="O17" s="316"/>
      <c r="P17" s="316"/>
      <c r="Q17" s="316"/>
      <c r="R17" s="316"/>
      <c r="S17" s="316"/>
      <c r="T17" s="316"/>
      <c r="U17" s="316"/>
      <c r="V17" s="316"/>
      <c r="W17" s="316"/>
      <c r="X17" s="316"/>
      <c r="Y17" s="316"/>
      <c r="Z17" s="317"/>
      <c r="AA17" s="317"/>
      <c r="AB17" s="317"/>
    </row>
    <row r="18" spans="3:28" hidden="1" outlineLevel="1">
      <c r="C18" s="201" t="str">
        <v>SpareOfferA12</v>
      </c>
      <c r="D18" s="316"/>
      <c r="E18" s="316"/>
      <c r="F18" s="316"/>
      <c r="G18" s="316"/>
      <c r="H18" s="316"/>
      <c r="I18" s="316"/>
      <c r="J18" s="316"/>
      <c r="K18" s="316"/>
      <c r="L18" s="316"/>
      <c r="M18" s="316"/>
      <c r="N18" s="316"/>
      <c r="O18" s="316"/>
      <c r="P18" s="316"/>
      <c r="Q18" s="316"/>
      <c r="R18" s="316"/>
      <c r="S18" s="316"/>
      <c r="T18" s="316"/>
      <c r="U18" s="316"/>
      <c r="V18" s="316"/>
      <c r="W18" s="316"/>
      <c r="X18" s="316"/>
      <c r="Y18" s="316"/>
      <c r="Z18" s="317"/>
      <c r="AA18" s="317"/>
      <c r="AB18" s="317"/>
    </row>
    <row r="19" spans="3:28" hidden="1" outlineLevel="1">
      <c r="C19" s="201" t="str">
        <v>SpareOfferA13</v>
      </c>
      <c r="D19" s="316"/>
      <c r="E19" s="316"/>
      <c r="F19" s="316"/>
      <c r="G19" s="316"/>
      <c r="H19" s="316"/>
      <c r="I19" s="316"/>
      <c r="J19" s="316"/>
      <c r="K19" s="316"/>
      <c r="L19" s="316"/>
      <c r="M19" s="316"/>
      <c r="N19" s="316"/>
      <c r="O19" s="316"/>
      <c r="P19" s="316"/>
      <c r="Q19" s="316"/>
      <c r="R19" s="316"/>
      <c r="S19" s="316"/>
      <c r="T19" s="316"/>
      <c r="U19" s="316"/>
      <c r="V19" s="316"/>
      <c r="W19" s="316"/>
      <c r="X19" s="316"/>
      <c r="Y19" s="316"/>
      <c r="Z19" s="317"/>
      <c r="AA19" s="317"/>
      <c r="AB19" s="317"/>
    </row>
    <row r="20" spans="3:28" hidden="1" outlineLevel="1">
      <c r="C20" s="201" t="str">
        <v>SpareOfferA14</v>
      </c>
      <c r="D20" s="316"/>
      <c r="E20" s="316"/>
      <c r="F20" s="316"/>
      <c r="G20" s="316"/>
      <c r="H20" s="316"/>
      <c r="I20" s="316"/>
      <c r="J20" s="316"/>
      <c r="K20" s="316"/>
      <c r="L20" s="316"/>
      <c r="M20" s="316"/>
      <c r="N20" s="316"/>
      <c r="O20" s="316"/>
      <c r="P20" s="316"/>
      <c r="Q20" s="316"/>
      <c r="R20" s="316"/>
      <c r="S20" s="316"/>
      <c r="T20" s="316"/>
      <c r="U20" s="316"/>
      <c r="V20" s="316"/>
      <c r="W20" s="316"/>
      <c r="X20" s="316"/>
      <c r="Y20" s="316"/>
      <c r="Z20" s="317"/>
      <c r="AA20" s="317"/>
      <c r="AB20" s="317"/>
    </row>
    <row r="21" spans="3:28" hidden="1" outlineLevel="1">
      <c r="C21" s="201" t="str">
        <v>SpareOfferA15</v>
      </c>
      <c r="D21" s="316"/>
      <c r="E21" s="316"/>
      <c r="F21" s="316"/>
      <c r="G21" s="316"/>
      <c r="H21" s="316"/>
      <c r="I21" s="316"/>
      <c r="J21" s="316"/>
      <c r="K21" s="316"/>
      <c r="L21" s="316"/>
      <c r="M21" s="316"/>
      <c r="N21" s="316"/>
      <c r="O21" s="316"/>
      <c r="P21" s="316"/>
      <c r="Q21" s="316"/>
      <c r="R21" s="316"/>
      <c r="S21" s="316"/>
      <c r="T21" s="316"/>
      <c r="U21" s="316"/>
      <c r="V21" s="316"/>
      <c r="W21" s="316"/>
      <c r="X21" s="316"/>
      <c r="Y21" s="316"/>
      <c r="Z21" s="317"/>
      <c r="AA21" s="317"/>
      <c r="AB21" s="317"/>
    </row>
    <row r="22" spans="3:28" hidden="1" outlineLevel="1">
      <c r="C22" s="201" t="str">
        <v>SpareOfferA16</v>
      </c>
      <c r="D22" s="316"/>
      <c r="E22" s="316"/>
      <c r="F22" s="316"/>
      <c r="G22" s="316"/>
      <c r="H22" s="316"/>
      <c r="I22" s="316"/>
      <c r="J22" s="316"/>
      <c r="K22" s="316"/>
      <c r="L22" s="316"/>
      <c r="M22" s="316"/>
      <c r="N22" s="316"/>
      <c r="O22" s="316"/>
      <c r="P22" s="316"/>
      <c r="Q22" s="316"/>
      <c r="R22" s="316"/>
      <c r="S22" s="316"/>
      <c r="T22" s="316"/>
      <c r="U22" s="316"/>
      <c r="V22" s="316"/>
      <c r="W22" s="316"/>
      <c r="X22" s="316"/>
      <c r="Y22" s="316"/>
      <c r="Z22" s="317"/>
      <c r="AA22" s="317"/>
      <c r="AB22" s="317"/>
    </row>
    <row r="23" spans="3:28" hidden="1" outlineLevel="1">
      <c r="C23" s="201" t="str">
        <v>SpareOfferA17</v>
      </c>
      <c r="D23" s="316"/>
      <c r="E23" s="316"/>
      <c r="F23" s="316"/>
      <c r="G23" s="316"/>
      <c r="H23" s="316"/>
      <c r="I23" s="316"/>
      <c r="J23" s="316"/>
      <c r="K23" s="316"/>
      <c r="L23" s="316"/>
      <c r="M23" s="316"/>
      <c r="N23" s="316"/>
      <c r="O23" s="316"/>
      <c r="P23" s="316"/>
      <c r="Q23" s="316"/>
      <c r="R23" s="316"/>
      <c r="S23" s="316"/>
      <c r="T23" s="316"/>
      <c r="U23" s="316"/>
      <c r="V23" s="316"/>
      <c r="W23" s="316"/>
      <c r="X23" s="316"/>
      <c r="Y23" s="316"/>
      <c r="Z23" s="317"/>
      <c r="AA23" s="317"/>
      <c r="AB23" s="317"/>
    </row>
    <row r="24" spans="3:28" hidden="1" outlineLevel="1">
      <c r="C24" s="201" t="str">
        <v>SpareOfferA18</v>
      </c>
      <c r="D24" s="316"/>
      <c r="E24" s="316"/>
      <c r="F24" s="316"/>
      <c r="G24" s="316"/>
      <c r="H24" s="316"/>
      <c r="I24" s="316"/>
      <c r="J24" s="316"/>
      <c r="K24" s="316"/>
      <c r="L24" s="316"/>
      <c r="M24" s="316"/>
      <c r="N24" s="316"/>
      <c r="O24" s="316"/>
      <c r="P24" s="316"/>
      <c r="Q24" s="316"/>
      <c r="R24" s="316"/>
      <c r="S24" s="316"/>
      <c r="T24" s="316"/>
      <c r="U24" s="316"/>
      <c r="V24" s="316"/>
      <c r="W24" s="316"/>
      <c r="X24" s="316"/>
      <c r="Y24" s="316"/>
      <c r="Z24" s="317"/>
      <c r="AA24" s="317"/>
      <c r="AB24" s="317"/>
    </row>
    <row r="25" spans="3:28" hidden="1" outlineLevel="1">
      <c r="C25" s="201" t="str">
        <v>SpareOfferA19</v>
      </c>
      <c r="D25" s="316"/>
      <c r="E25" s="316"/>
      <c r="F25" s="316"/>
      <c r="G25" s="316"/>
      <c r="H25" s="316"/>
      <c r="I25" s="316"/>
      <c r="J25" s="316"/>
      <c r="K25" s="316"/>
      <c r="L25" s="316"/>
      <c r="M25" s="316"/>
      <c r="N25" s="316"/>
      <c r="O25" s="316"/>
      <c r="P25" s="316"/>
      <c r="Q25" s="316"/>
      <c r="R25" s="316"/>
      <c r="S25" s="316"/>
      <c r="T25" s="316"/>
      <c r="U25" s="316"/>
      <c r="V25" s="316"/>
      <c r="W25" s="316"/>
      <c r="X25" s="316"/>
      <c r="Y25" s="316"/>
      <c r="Z25" s="317"/>
      <c r="AA25" s="317"/>
      <c r="AB25" s="317"/>
    </row>
    <row r="26" spans="3:28" hidden="1" outlineLevel="1">
      <c r="C26" s="201" t="str">
        <v>SpareOfferA20</v>
      </c>
      <c r="D26" s="316"/>
      <c r="E26" s="316"/>
      <c r="F26" s="316"/>
      <c r="G26" s="316"/>
      <c r="H26" s="316"/>
      <c r="I26" s="316"/>
      <c r="J26" s="316"/>
      <c r="K26" s="316"/>
      <c r="L26" s="316"/>
      <c r="M26" s="316"/>
      <c r="N26" s="316"/>
      <c r="O26" s="316"/>
      <c r="P26" s="316"/>
      <c r="Q26" s="316"/>
      <c r="R26" s="316"/>
      <c r="S26" s="316"/>
      <c r="T26" s="316"/>
      <c r="U26" s="316"/>
      <c r="V26" s="316"/>
      <c r="W26" s="316"/>
      <c r="X26" s="316"/>
      <c r="Y26" s="316"/>
      <c r="Z26" s="317"/>
      <c r="AA26" s="317"/>
      <c r="AB26" s="317"/>
    </row>
    <row r="27" spans="3:28" hidden="1" outlineLevel="1">
      <c r="C27" s="201" t="str">
        <v>SpareOfferA21</v>
      </c>
      <c r="D27" s="316"/>
      <c r="E27" s="316"/>
      <c r="F27" s="316"/>
      <c r="G27" s="316"/>
      <c r="H27" s="316"/>
      <c r="I27" s="316"/>
      <c r="J27" s="316"/>
      <c r="K27" s="316"/>
      <c r="L27" s="316"/>
      <c r="M27" s="316"/>
      <c r="N27" s="316"/>
      <c r="O27" s="316"/>
      <c r="P27" s="316"/>
      <c r="Q27" s="316"/>
      <c r="R27" s="316"/>
      <c r="S27" s="316"/>
      <c r="T27" s="316"/>
      <c r="U27" s="316"/>
      <c r="V27" s="316"/>
      <c r="W27" s="316"/>
      <c r="X27" s="316"/>
      <c r="Y27" s="316"/>
      <c r="Z27" s="317"/>
      <c r="AA27" s="317"/>
      <c r="AB27" s="317"/>
    </row>
    <row r="28" spans="3:28" hidden="1" outlineLevel="1">
      <c r="C28" s="201" t="str">
        <v>SpareOfferA22</v>
      </c>
      <c r="D28" s="316"/>
      <c r="E28" s="316"/>
      <c r="F28" s="316"/>
      <c r="G28" s="316"/>
      <c r="H28" s="316"/>
      <c r="I28" s="316"/>
      <c r="J28" s="316"/>
      <c r="K28" s="316"/>
      <c r="L28" s="316"/>
      <c r="M28" s="316"/>
      <c r="N28" s="316"/>
      <c r="O28" s="316"/>
      <c r="P28" s="316"/>
      <c r="Q28" s="316"/>
      <c r="R28" s="316"/>
      <c r="S28" s="316"/>
      <c r="T28" s="316"/>
      <c r="U28" s="316"/>
      <c r="V28" s="316"/>
      <c r="W28" s="316"/>
      <c r="X28" s="316"/>
      <c r="Y28" s="316"/>
      <c r="Z28" s="317"/>
      <c r="AA28" s="317"/>
      <c r="AB28" s="317"/>
    </row>
    <row r="29" spans="3:28" hidden="1" outlineLevel="1">
      <c r="C29" s="201" t="str">
        <v>SpareOfferA23</v>
      </c>
      <c r="D29" s="316"/>
      <c r="E29" s="316"/>
      <c r="F29" s="316"/>
      <c r="G29" s="316"/>
      <c r="H29" s="316"/>
      <c r="I29" s="316"/>
      <c r="J29" s="316"/>
      <c r="K29" s="316"/>
      <c r="L29" s="316"/>
      <c r="M29" s="316"/>
      <c r="N29" s="316"/>
      <c r="O29" s="316"/>
      <c r="P29" s="316"/>
      <c r="Q29" s="316"/>
      <c r="R29" s="316"/>
      <c r="S29" s="316"/>
      <c r="T29" s="316"/>
      <c r="U29" s="316"/>
      <c r="V29" s="316"/>
      <c r="W29" s="316"/>
      <c r="X29" s="316"/>
      <c r="Y29" s="316"/>
      <c r="Z29" s="317"/>
      <c r="AA29" s="317"/>
      <c r="AB29" s="317"/>
    </row>
    <row r="30" spans="3:28" hidden="1" outlineLevel="1">
      <c r="C30" s="201" t="str">
        <v>SpareOfferA24</v>
      </c>
      <c r="D30" s="316"/>
      <c r="E30" s="316"/>
      <c r="F30" s="316"/>
      <c r="G30" s="316"/>
      <c r="H30" s="316"/>
      <c r="I30" s="316"/>
      <c r="J30" s="316"/>
      <c r="K30" s="316"/>
      <c r="L30" s="316"/>
      <c r="M30" s="316"/>
      <c r="N30" s="316"/>
      <c r="O30" s="316"/>
      <c r="P30" s="316"/>
      <c r="Q30" s="316"/>
      <c r="R30" s="316"/>
      <c r="S30" s="316"/>
      <c r="T30" s="316"/>
      <c r="U30" s="316"/>
      <c r="V30" s="316"/>
      <c r="W30" s="316"/>
      <c r="X30" s="316"/>
      <c r="Y30" s="316"/>
      <c r="Z30" s="317"/>
      <c r="AA30" s="317"/>
      <c r="AB30" s="317"/>
    </row>
    <row r="31" spans="3:28" hidden="1" outlineLevel="1">
      <c r="C31" s="201" t="str">
        <v>SpareOfferA25</v>
      </c>
      <c r="D31" s="316"/>
      <c r="E31" s="316"/>
      <c r="F31" s="316"/>
      <c r="G31" s="316"/>
      <c r="H31" s="316"/>
      <c r="I31" s="316"/>
      <c r="J31" s="316"/>
      <c r="K31" s="316"/>
      <c r="L31" s="316"/>
      <c r="M31" s="316"/>
      <c r="N31" s="316"/>
      <c r="O31" s="316"/>
      <c r="P31" s="316"/>
      <c r="Q31" s="316"/>
      <c r="R31" s="316"/>
      <c r="S31" s="316"/>
      <c r="T31" s="316"/>
      <c r="U31" s="316"/>
      <c r="V31" s="316"/>
      <c r="W31" s="316"/>
      <c r="X31" s="316"/>
      <c r="Y31" s="316"/>
      <c r="Z31" s="317"/>
      <c r="AA31" s="317"/>
      <c r="AB31" s="317"/>
    </row>
    <row r="32" spans="3:28" hidden="1" outlineLevel="1">
      <c r="C32" s="201" t="str">
        <v>SpareOfferA26</v>
      </c>
      <c r="D32" s="316"/>
      <c r="E32" s="316"/>
      <c r="F32" s="316"/>
      <c r="G32" s="316"/>
      <c r="H32" s="316"/>
      <c r="I32" s="316"/>
      <c r="J32" s="316"/>
      <c r="K32" s="316"/>
      <c r="L32" s="316"/>
      <c r="M32" s="316"/>
      <c r="N32" s="316"/>
      <c r="O32" s="316"/>
      <c r="P32" s="316"/>
      <c r="Q32" s="316"/>
      <c r="R32" s="316"/>
      <c r="S32" s="316"/>
      <c r="T32" s="316"/>
      <c r="U32" s="316"/>
      <c r="V32" s="316"/>
      <c r="W32" s="316"/>
      <c r="X32" s="316"/>
      <c r="Y32" s="316"/>
      <c r="Z32" s="317"/>
      <c r="AA32" s="317"/>
      <c r="AB32" s="317"/>
    </row>
    <row r="33" spans="3:28" hidden="1" outlineLevel="1">
      <c r="C33" s="201" t="str">
        <v>SpareOfferA27</v>
      </c>
      <c r="D33" s="316"/>
      <c r="E33" s="316"/>
      <c r="F33" s="316"/>
      <c r="G33" s="316"/>
      <c r="H33" s="316"/>
      <c r="I33" s="316"/>
      <c r="J33" s="316"/>
      <c r="K33" s="316"/>
      <c r="L33" s="316"/>
      <c r="M33" s="316"/>
      <c r="N33" s="316"/>
      <c r="O33" s="316"/>
      <c r="P33" s="316"/>
      <c r="Q33" s="316"/>
      <c r="R33" s="316"/>
      <c r="S33" s="316"/>
      <c r="T33" s="316"/>
      <c r="U33" s="316"/>
      <c r="V33" s="316"/>
      <c r="W33" s="316"/>
      <c r="X33" s="316"/>
      <c r="Y33" s="316"/>
      <c r="Z33" s="317"/>
      <c r="AA33" s="317"/>
      <c r="AB33" s="317"/>
    </row>
    <row r="34" spans="3:28" hidden="1" outlineLevel="1">
      <c r="C34" s="201" t="str">
        <v>SpareOfferA28</v>
      </c>
      <c r="D34" s="316"/>
      <c r="E34" s="316"/>
      <c r="F34" s="316"/>
      <c r="G34" s="316"/>
      <c r="H34" s="316"/>
      <c r="I34" s="316"/>
      <c r="J34" s="316"/>
      <c r="K34" s="316"/>
      <c r="L34" s="316"/>
      <c r="M34" s="316"/>
      <c r="N34" s="316"/>
      <c r="O34" s="316"/>
      <c r="P34" s="316"/>
      <c r="Q34" s="316"/>
      <c r="R34" s="316"/>
      <c r="S34" s="316"/>
      <c r="T34" s="316"/>
      <c r="U34" s="316"/>
      <c r="V34" s="316"/>
      <c r="W34" s="316"/>
      <c r="X34" s="316"/>
      <c r="Y34" s="316"/>
      <c r="Z34" s="317"/>
      <c r="AA34" s="317"/>
      <c r="AB34" s="317"/>
    </row>
    <row r="35" spans="3:28" hidden="1" outlineLevel="1">
      <c r="C35" s="201" t="str">
        <v>SpareOfferA29</v>
      </c>
      <c r="D35" s="316"/>
      <c r="E35" s="316"/>
      <c r="F35" s="316"/>
      <c r="G35" s="316"/>
      <c r="H35" s="316"/>
      <c r="I35" s="316"/>
      <c r="J35" s="316"/>
      <c r="K35" s="316"/>
      <c r="L35" s="316"/>
      <c r="M35" s="316"/>
      <c r="N35" s="316"/>
      <c r="O35" s="316"/>
      <c r="P35" s="316"/>
      <c r="Q35" s="316"/>
      <c r="R35" s="316"/>
      <c r="S35" s="316"/>
      <c r="T35" s="316"/>
      <c r="U35" s="316"/>
      <c r="V35" s="316"/>
      <c r="W35" s="316"/>
      <c r="X35" s="316"/>
      <c r="Y35" s="316"/>
      <c r="Z35" s="317"/>
      <c r="AA35" s="317"/>
      <c r="AB35" s="317"/>
    </row>
    <row r="36" spans="3:28" hidden="1" outlineLevel="1">
      <c r="C36" s="201" t="str">
        <v>SpareOfferA30</v>
      </c>
      <c r="D36" s="316"/>
      <c r="E36" s="316"/>
      <c r="F36" s="316"/>
      <c r="G36" s="316"/>
      <c r="H36" s="316"/>
      <c r="I36" s="316"/>
      <c r="J36" s="316"/>
      <c r="K36" s="316"/>
      <c r="L36" s="316"/>
      <c r="M36" s="316"/>
      <c r="N36" s="316"/>
      <c r="O36" s="316"/>
      <c r="P36" s="316"/>
      <c r="Q36" s="316"/>
      <c r="R36" s="316"/>
      <c r="S36" s="316"/>
      <c r="T36" s="316"/>
      <c r="U36" s="316"/>
      <c r="V36" s="316"/>
      <c r="W36" s="316"/>
      <c r="X36" s="316"/>
      <c r="Y36" s="316"/>
      <c r="Z36" s="317"/>
      <c r="AA36" s="317"/>
      <c r="AB36" s="317"/>
    </row>
    <row r="37" spans="3:28" hidden="1" outlineLevel="1">
      <c r="C37" s="201" t="str">
        <v>SpareOfferA31</v>
      </c>
      <c r="D37" s="316"/>
      <c r="E37" s="316"/>
      <c r="F37" s="316"/>
      <c r="G37" s="316"/>
      <c r="H37" s="316"/>
      <c r="I37" s="316"/>
      <c r="J37" s="316"/>
      <c r="K37" s="316"/>
      <c r="L37" s="316"/>
      <c r="M37" s="316"/>
      <c r="N37" s="316"/>
      <c r="O37" s="316"/>
      <c r="P37" s="316"/>
      <c r="Q37" s="316"/>
      <c r="R37" s="316"/>
      <c r="S37" s="316"/>
      <c r="T37" s="316"/>
      <c r="U37" s="316"/>
      <c r="V37" s="316"/>
      <c r="W37" s="316"/>
      <c r="X37" s="316"/>
      <c r="Y37" s="316"/>
      <c r="Z37" s="317"/>
      <c r="AA37" s="317"/>
      <c r="AB37" s="317"/>
    </row>
    <row r="38" spans="3:28" hidden="1" outlineLevel="1">
      <c r="C38" s="201" t="str">
        <v>SpareOfferA32</v>
      </c>
      <c r="D38" s="316"/>
      <c r="E38" s="316"/>
      <c r="F38" s="316"/>
      <c r="G38" s="316"/>
      <c r="H38" s="316"/>
      <c r="I38" s="316"/>
      <c r="J38" s="316"/>
      <c r="K38" s="316"/>
      <c r="L38" s="316"/>
      <c r="M38" s="316"/>
      <c r="N38" s="316"/>
      <c r="O38" s="316"/>
      <c r="P38" s="316"/>
      <c r="Q38" s="316"/>
      <c r="R38" s="316"/>
      <c r="S38" s="316"/>
      <c r="T38" s="316"/>
      <c r="U38" s="316"/>
      <c r="V38" s="316"/>
      <c r="W38" s="316"/>
      <c r="X38" s="316"/>
      <c r="Y38" s="316"/>
      <c r="Z38" s="317"/>
      <c r="AA38" s="317"/>
      <c r="AB38" s="317"/>
    </row>
    <row r="39" spans="3:28" hidden="1" outlineLevel="1">
      <c r="C39" s="201" t="str">
        <v>SpareOfferA33</v>
      </c>
      <c r="D39" s="316"/>
      <c r="E39" s="316"/>
      <c r="F39" s="316"/>
      <c r="G39" s="316"/>
      <c r="H39" s="316"/>
      <c r="I39" s="316"/>
      <c r="J39" s="316"/>
      <c r="K39" s="316"/>
      <c r="L39" s="316"/>
      <c r="M39" s="316"/>
      <c r="N39" s="316"/>
      <c r="O39" s="316"/>
      <c r="P39" s="316"/>
      <c r="Q39" s="316"/>
      <c r="R39" s="316"/>
      <c r="S39" s="316"/>
      <c r="T39" s="316"/>
      <c r="U39" s="316"/>
      <c r="V39" s="316"/>
      <c r="W39" s="316"/>
      <c r="X39" s="316"/>
      <c r="Y39" s="316"/>
      <c r="Z39" s="317"/>
      <c r="AA39" s="317"/>
      <c r="AB39" s="317"/>
    </row>
    <row r="40" spans="3:28" hidden="1" outlineLevel="1">
      <c r="C40" s="201" t="str">
        <v>SpareOfferA34</v>
      </c>
      <c r="D40" s="316"/>
      <c r="E40" s="316"/>
      <c r="F40" s="316"/>
      <c r="G40" s="316"/>
      <c r="H40" s="316"/>
      <c r="I40" s="316"/>
      <c r="J40" s="316"/>
      <c r="K40" s="316"/>
      <c r="L40" s="316"/>
      <c r="M40" s="316"/>
      <c r="N40" s="316"/>
      <c r="O40" s="316"/>
      <c r="P40" s="316"/>
      <c r="Q40" s="316"/>
      <c r="R40" s="316"/>
      <c r="S40" s="316"/>
      <c r="T40" s="316"/>
      <c r="U40" s="316"/>
      <c r="V40" s="316"/>
      <c r="W40" s="316"/>
      <c r="X40" s="316"/>
      <c r="Y40" s="316"/>
      <c r="Z40" s="317"/>
      <c r="AA40" s="317"/>
      <c r="AB40" s="317"/>
    </row>
    <row r="41" spans="3:28" hidden="1" outlineLevel="1">
      <c r="C41" s="201" t="str">
        <v>SpareOfferA35</v>
      </c>
      <c r="D41" s="316"/>
      <c r="E41" s="316"/>
      <c r="F41" s="316"/>
      <c r="G41" s="316"/>
      <c r="H41" s="316"/>
      <c r="I41" s="316"/>
      <c r="J41" s="316"/>
      <c r="K41" s="316"/>
      <c r="L41" s="316"/>
      <c r="M41" s="316"/>
      <c r="N41" s="316"/>
      <c r="O41" s="316"/>
      <c r="P41" s="316"/>
      <c r="Q41" s="316"/>
      <c r="R41" s="316"/>
      <c r="S41" s="316"/>
      <c r="T41" s="316"/>
      <c r="U41" s="316"/>
      <c r="V41" s="316"/>
      <c r="W41" s="316"/>
      <c r="X41" s="316"/>
      <c r="Y41" s="316"/>
      <c r="Z41" s="317"/>
      <c r="AA41" s="317"/>
      <c r="AB41" s="317"/>
    </row>
    <row r="42" spans="3:28" hidden="1" outlineLevel="1">
      <c r="C42" s="203" t="str">
        <f t="array" ref="C42:C76">offers.segment.2</f>
        <v>SpareOfferB1</v>
      </c>
      <c r="D42" s="316"/>
      <c r="E42" s="316"/>
      <c r="F42" s="316"/>
      <c r="G42" s="316"/>
      <c r="H42" s="316"/>
      <c r="I42" s="316"/>
      <c r="J42" s="316"/>
      <c r="K42" s="316"/>
      <c r="L42" s="316"/>
      <c r="M42" s="316"/>
      <c r="N42" s="316"/>
      <c r="O42" s="316"/>
      <c r="P42" s="316"/>
      <c r="Q42" s="316"/>
      <c r="R42" s="316"/>
      <c r="S42" s="316"/>
      <c r="T42" s="316"/>
      <c r="U42" s="316"/>
      <c r="V42" s="316"/>
      <c r="W42" s="316"/>
      <c r="X42" s="316"/>
      <c r="Y42" s="316"/>
      <c r="Z42" s="317"/>
      <c r="AA42" s="317"/>
      <c r="AB42" s="317"/>
    </row>
    <row r="43" spans="3:28" hidden="1" outlineLevel="1">
      <c r="C43" s="203" t="str">
        <v>SpareOfferB2</v>
      </c>
      <c r="D43" s="316"/>
      <c r="E43" s="316"/>
      <c r="F43" s="316"/>
      <c r="G43" s="316"/>
      <c r="H43" s="316"/>
      <c r="I43" s="316"/>
      <c r="J43" s="316"/>
      <c r="K43" s="316"/>
      <c r="L43" s="316"/>
      <c r="M43" s="316"/>
      <c r="N43" s="316"/>
      <c r="O43" s="316"/>
      <c r="P43" s="316"/>
      <c r="Q43" s="316"/>
      <c r="R43" s="316"/>
      <c r="S43" s="316"/>
      <c r="T43" s="316"/>
      <c r="U43" s="316"/>
      <c r="V43" s="316"/>
      <c r="W43" s="316"/>
      <c r="X43" s="316"/>
      <c r="Y43" s="316"/>
      <c r="Z43" s="317"/>
      <c r="AA43" s="317"/>
      <c r="AB43" s="317"/>
    </row>
    <row r="44" spans="3:28" hidden="1" outlineLevel="1">
      <c r="C44" s="203" t="str">
        <v>SpareOfferB3</v>
      </c>
      <c r="D44" s="316"/>
      <c r="E44" s="316"/>
      <c r="F44" s="316"/>
      <c r="G44" s="316"/>
      <c r="H44" s="316"/>
      <c r="I44" s="316"/>
      <c r="J44" s="316"/>
      <c r="K44" s="316"/>
      <c r="L44" s="316"/>
      <c r="M44" s="316"/>
      <c r="N44" s="316"/>
      <c r="O44" s="316"/>
      <c r="P44" s="316"/>
      <c r="Q44" s="316"/>
      <c r="R44" s="316"/>
      <c r="S44" s="316"/>
      <c r="T44" s="316"/>
      <c r="U44" s="316"/>
      <c r="V44" s="316"/>
      <c r="W44" s="316"/>
      <c r="X44" s="316"/>
      <c r="Y44" s="316"/>
      <c r="Z44" s="317"/>
      <c r="AA44" s="317"/>
      <c r="AB44" s="317"/>
    </row>
    <row r="45" spans="3:28" hidden="1" outlineLevel="1">
      <c r="C45" s="203" t="str">
        <v>SpareOfferB4</v>
      </c>
      <c r="D45" s="316"/>
      <c r="E45" s="316"/>
      <c r="F45" s="316"/>
      <c r="G45" s="316"/>
      <c r="H45" s="316"/>
      <c r="I45" s="316"/>
      <c r="J45" s="316"/>
      <c r="K45" s="316"/>
      <c r="L45" s="316"/>
      <c r="M45" s="316"/>
      <c r="N45" s="316"/>
      <c r="O45" s="316"/>
      <c r="P45" s="316"/>
      <c r="Q45" s="316"/>
      <c r="R45" s="316"/>
      <c r="S45" s="316"/>
      <c r="T45" s="316"/>
      <c r="U45" s="316"/>
      <c r="V45" s="316"/>
      <c r="W45" s="316"/>
      <c r="X45" s="316"/>
      <c r="Y45" s="316"/>
      <c r="Z45" s="317"/>
      <c r="AA45" s="317"/>
      <c r="AB45" s="317"/>
    </row>
    <row r="46" spans="3:28" hidden="1" outlineLevel="1">
      <c r="C46" s="203" t="str">
        <v>SpareOfferB5</v>
      </c>
      <c r="D46" s="316"/>
      <c r="E46" s="316"/>
      <c r="F46" s="316"/>
      <c r="G46" s="316"/>
      <c r="H46" s="316"/>
      <c r="I46" s="316"/>
      <c r="J46" s="316"/>
      <c r="K46" s="316"/>
      <c r="L46" s="316"/>
      <c r="M46" s="316"/>
      <c r="N46" s="316"/>
      <c r="O46" s="316"/>
      <c r="P46" s="316"/>
      <c r="Q46" s="316"/>
      <c r="R46" s="316"/>
      <c r="S46" s="316"/>
      <c r="T46" s="316"/>
      <c r="U46" s="316"/>
      <c r="V46" s="316"/>
      <c r="W46" s="316"/>
      <c r="X46" s="316"/>
      <c r="Y46" s="316"/>
      <c r="Z46" s="317"/>
      <c r="AA46" s="317"/>
      <c r="AB46" s="317"/>
    </row>
    <row r="47" spans="3:28" hidden="1" outlineLevel="1">
      <c r="C47" s="203" t="str">
        <v>SpareOfferB6</v>
      </c>
      <c r="D47" s="316"/>
      <c r="E47" s="316"/>
      <c r="F47" s="316"/>
      <c r="G47" s="316"/>
      <c r="H47" s="316"/>
      <c r="I47" s="316"/>
      <c r="J47" s="316"/>
      <c r="K47" s="316"/>
      <c r="L47" s="316"/>
      <c r="M47" s="316"/>
      <c r="N47" s="316"/>
      <c r="O47" s="316"/>
      <c r="P47" s="316"/>
      <c r="Q47" s="316"/>
      <c r="R47" s="316"/>
      <c r="S47" s="316"/>
      <c r="T47" s="316"/>
      <c r="U47" s="316"/>
      <c r="V47" s="316"/>
      <c r="W47" s="316"/>
      <c r="X47" s="316"/>
      <c r="Y47" s="316"/>
      <c r="Z47" s="317"/>
      <c r="AA47" s="317"/>
      <c r="AB47" s="317"/>
    </row>
    <row r="48" spans="3:28" hidden="1" outlineLevel="1">
      <c r="C48" s="203" t="str">
        <v>SpareOfferB7</v>
      </c>
      <c r="D48" s="316"/>
      <c r="E48" s="316"/>
      <c r="F48" s="316"/>
      <c r="G48" s="316"/>
      <c r="H48" s="316"/>
      <c r="I48" s="316"/>
      <c r="J48" s="316"/>
      <c r="K48" s="316"/>
      <c r="L48" s="316"/>
      <c r="M48" s="316"/>
      <c r="N48" s="316"/>
      <c r="O48" s="316"/>
      <c r="P48" s="316"/>
      <c r="Q48" s="316"/>
      <c r="R48" s="316"/>
      <c r="S48" s="316"/>
      <c r="T48" s="316"/>
      <c r="U48" s="316"/>
      <c r="V48" s="316"/>
      <c r="W48" s="316"/>
      <c r="X48" s="316"/>
      <c r="Y48" s="316"/>
      <c r="Z48" s="317"/>
      <c r="AA48" s="317"/>
      <c r="AB48" s="317"/>
    </row>
    <row r="49" spans="3:28" hidden="1" outlineLevel="1">
      <c r="C49" s="203" t="str">
        <v>SpareOfferB8</v>
      </c>
      <c r="D49" s="316"/>
      <c r="E49" s="316"/>
      <c r="F49" s="316"/>
      <c r="G49" s="316"/>
      <c r="H49" s="316"/>
      <c r="I49" s="316"/>
      <c r="J49" s="316"/>
      <c r="K49" s="316"/>
      <c r="L49" s="316"/>
      <c r="M49" s="316"/>
      <c r="N49" s="316"/>
      <c r="O49" s="316"/>
      <c r="P49" s="316"/>
      <c r="Q49" s="316"/>
      <c r="R49" s="316"/>
      <c r="S49" s="316"/>
      <c r="T49" s="316"/>
      <c r="U49" s="316"/>
      <c r="V49" s="316"/>
      <c r="W49" s="316"/>
      <c r="X49" s="316"/>
      <c r="Y49" s="316"/>
      <c r="Z49" s="317"/>
      <c r="AA49" s="317"/>
      <c r="AB49" s="317"/>
    </row>
    <row r="50" spans="3:28" hidden="1" outlineLevel="1">
      <c r="C50" s="203" t="str">
        <v>SpareOfferB9</v>
      </c>
      <c r="D50" s="316"/>
      <c r="E50" s="316"/>
      <c r="F50" s="316"/>
      <c r="G50" s="316"/>
      <c r="H50" s="316"/>
      <c r="I50" s="316"/>
      <c r="J50" s="316"/>
      <c r="K50" s="316"/>
      <c r="L50" s="316"/>
      <c r="M50" s="316"/>
      <c r="N50" s="316"/>
      <c r="O50" s="316"/>
      <c r="P50" s="316"/>
      <c r="Q50" s="316"/>
      <c r="R50" s="316"/>
      <c r="S50" s="316"/>
      <c r="T50" s="316"/>
      <c r="U50" s="316"/>
      <c r="V50" s="316"/>
      <c r="W50" s="316"/>
      <c r="X50" s="316"/>
      <c r="Y50" s="316"/>
      <c r="Z50" s="317"/>
      <c r="AA50" s="317"/>
      <c r="AB50" s="317"/>
    </row>
    <row r="51" spans="3:28" hidden="1" outlineLevel="1">
      <c r="C51" s="203" t="str">
        <v>SpareOfferB10</v>
      </c>
      <c r="D51" s="316"/>
      <c r="E51" s="316"/>
      <c r="F51" s="316"/>
      <c r="G51" s="316"/>
      <c r="H51" s="316"/>
      <c r="I51" s="316"/>
      <c r="J51" s="316"/>
      <c r="K51" s="316"/>
      <c r="L51" s="316"/>
      <c r="M51" s="316"/>
      <c r="N51" s="316"/>
      <c r="O51" s="316"/>
      <c r="P51" s="316"/>
      <c r="Q51" s="316"/>
      <c r="R51" s="316"/>
      <c r="S51" s="316"/>
      <c r="T51" s="316"/>
      <c r="U51" s="316"/>
      <c r="V51" s="316"/>
      <c r="W51" s="316"/>
      <c r="X51" s="316"/>
      <c r="Y51" s="316"/>
      <c r="Z51" s="317"/>
      <c r="AA51" s="317"/>
      <c r="AB51" s="317"/>
    </row>
    <row r="52" spans="3:28" hidden="1" outlineLevel="1">
      <c r="C52" s="203" t="str">
        <v>SpareOfferB11</v>
      </c>
      <c r="D52" s="316"/>
      <c r="E52" s="316"/>
      <c r="F52" s="316"/>
      <c r="G52" s="316"/>
      <c r="H52" s="316"/>
      <c r="I52" s="316"/>
      <c r="J52" s="316"/>
      <c r="K52" s="316"/>
      <c r="L52" s="316"/>
      <c r="M52" s="316"/>
      <c r="N52" s="316"/>
      <c r="O52" s="316"/>
      <c r="P52" s="316"/>
      <c r="Q52" s="316"/>
      <c r="R52" s="316"/>
      <c r="S52" s="316"/>
      <c r="T52" s="316"/>
      <c r="U52" s="316"/>
      <c r="V52" s="316"/>
      <c r="W52" s="316"/>
      <c r="X52" s="316"/>
      <c r="Y52" s="316"/>
      <c r="Z52" s="317"/>
      <c r="AA52" s="317"/>
      <c r="AB52" s="317"/>
    </row>
    <row r="53" spans="3:28" hidden="1" outlineLevel="1">
      <c r="C53" s="203" t="str">
        <v>SpareOfferB12</v>
      </c>
      <c r="D53" s="316"/>
      <c r="E53" s="316"/>
      <c r="F53" s="316"/>
      <c r="G53" s="316"/>
      <c r="H53" s="316"/>
      <c r="I53" s="316"/>
      <c r="J53" s="316"/>
      <c r="K53" s="316"/>
      <c r="L53" s="316"/>
      <c r="M53" s="316"/>
      <c r="N53" s="316"/>
      <c r="O53" s="316"/>
      <c r="P53" s="316"/>
      <c r="Q53" s="316"/>
      <c r="R53" s="316"/>
      <c r="S53" s="316"/>
      <c r="T53" s="316"/>
      <c r="U53" s="316"/>
      <c r="V53" s="316"/>
      <c r="W53" s="316"/>
      <c r="X53" s="316"/>
      <c r="Y53" s="316"/>
      <c r="Z53" s="317"/>
      <c r="AA53" s="317"/>
      <c r="AB53" s="317"/>
    </row>
    <row r="54" spans="3:28" hidden="1" outlineLevel="1">
      <c r="C54" s="203" t="str">
        <v>SpareOfferB13</v>
      </c>
      <c r="D54" s="316"/>
      <c r="E54" s="316"/>
      <c r="F54" s="316"/>
      <c r="G54" s="316"/>
      <c r="H54" s="316"/>
      <c r="I54" s="316"/>
      <c r="J54" s="316"/>
      <c r="K54" s="316"/>
      <c r="L54" s="316"/>
      <c r="M54" s="316"/>
      <c r="N54" s="316"/>
      <c r="O54" s="316"/>
      <c r="P54" s="316"/>
      <c r="Q54" s="316"/>
      <c r="R54" s="316"/>
      <c r="S54" s="316"/>
      <c r="T54" s="316"/>
      <c r="U54" s="316"/>
      <c r="V54" s="316"/>
      <c r="W54" s="316"/>
      <c r="X54" s="316"/>
      <c r="Y54" s="316"/>
      <c r="Z54" s="317"/>
      <c r="AA54" s="317"/>
      <c r="AB54" s="317"/>
    </row>
    <row r="55" spans="3:28" hidden="1" outlineLevel="1">
      <c r="C55" s="203" t="str">
        <v>SpareOfferB14</v>
      </c>
      <c r="D55" s="316"/>
      <c r="E55" s="316"/>
      <c r="F55" s="316"/>
      <c r="G55" s="316"/>
      <c r="H55" s="316"/>
      <c r="I55" s="316"/>
      <c r="J55" s="316"/>
      <c r="K55" s="316"/>
      <c r="L55" s="316"/>
      <c r="M55" s="316"/>
      <c r="N55" s="316"/>
      <c r="O55" s="316"/>
      <c r="P55" s="316"/>
      <c r="Q55" s="316"/>
      <c r="R55" s="316"/>
      <c r="S55" s="316"/>
      <c r="T55" s="316"/>
      <c r="U55" s="316"/>
      <c r="V55" s="316"/>
      <c r="W55" s="316"/>
      <c r="X55" s="316"/>
      <c r="Y55" s="316"/>
      <c r="Z55" s="317"/>
      <c r="AA55" s="317"/>
      <c r="AB55" s="317"/>
    </row>
    <row r="56" spans="3:28" hidden="1" outlineLevel="1">
      <c r="C56" s="203" t="str">
        <v>SpareOfferB15</v>
      </c>
      <c r="D56" s="316"/>
      <c r="E56" s="316"/>
      <c r="F56" s="316"/>
      <c r="G56" s="316"/>
      <c r="H56" s="316"/>
      <c r="I56" s="316"/>
      <c r="J56" s="316"/>
      <c r="K56" s="316"/>
      <c r="L56" s="316"/>
      <c r="M56" s="316"/>
      <c r="N56" s="316"/>
      <c r="O56" s="316"/>
      <c r="P56" s="316"/>
      <c r="Q56" s="316"/>
      <c r="R56" s="316"/>
      <c r="S56" s="316"/>
      <c r="T56" s="316"/>
      <c r="U56" s="316"/>
      <c r="V56" s="316"/>
      <c r="W56" s="316"/>
      <c r="X56" s="316"/>
      <c r="Y56" s="316"/>
      <c r="Z56" s="317"/>
      <c r="AA56" s="317"/>
      <c r="AB56" s="317"/>
    </row>
    <row r="57" spans="3:28" hidden="1" outlineLevel="1">
      <c r="C57" s="203" t="str">
        <v>SpareOfferB16</v>
      </c>
      <c r="D57" s="316"/>
      <c r="E57" s="316"/>
      <c r="F57" s="316"/>
      <c r="G57" s="316"/>
      <c r="H57" s="316"/>
      <c r="I57" s="316"/>
      <c r="J57" s="316"/>
      <c r="K57" s="316"/>
      <c r="L57" s="316"/>
      <c r="M57" s="316"/>
      <c r="N57" s="316"/>
      <c r="O57" s="316"/>
      <c r="P57" s="316"/>
      <c r="Q57" s="316"/>
      <c r="R57" s="316"/>
      <c r="S57" s="316"/>
      <c r="T57" s="316"/>
      <c r="U57" s="316"/>
      <c r="V57" s="316"/>
      <c r="W57" s="316"/>
      <c r="X57" s="316"/>
      <c r="Y57" s="316"/>
      <c r="Z57" s="317"/>
      <c r="AA57" s="317"/>
      <c r="AB57" s="317"/>
    </row>
    <row r="58" spans="3:28" hidden="1" outlineLevel="1">
      <c r="C58" s="203" t="str">
        <v>SpareOfferB17</v>
      </c>
      <c r="D58" s="316"/>
      <c r="E58" s="316"/>
      <c r="F58" s="316"/>
      <c r="G58" s="316"/>
      <c r="H58" s="316"/>
      <c r="I58" s="316"/>
      <c r="J58" s="316"/>
      <c r="K58" s="316"/>
      <c r="L58" s="316"/>
      <c r="M58" s="316"/>
      <c r="N58" s="316"/>
      <c r="O58" s="316"/>
      <c r="P58" s="316"/>
      <c r="Q58" s="316"/>
      <c r="R58" s="316"/>
      <c r="S58" s="316"/>
      <c r="T58" s="316"/>
      <c r="U58" s="316"/>
      <c r="V58" s="316"/>
      <c r="W58" s="316"/>
      <c r="X58" s="316"/>
      <c r="Y58" s="316"/>
      <c r="Z58" s="317"/>
      <c r="AA58" s="317"/>
      <c r="AB58" s="317"/>
    </row>
    <row r="59" spans="3:28" hidden="1" outlineLevel="1">
      <c r="C59" s="203" t="str">
        <v>SpareOfferB18</v>
      </c>
      <c r="D59" s="316"/>
      <c r="E59" s="316"/>
      <c r="F59" s="316"/>
      <c r="G59" s="316"/>
      <c r="H59" s="316"/>
      <c r="I59" s="316"/>
      <c r="J59" s="316"/>
      <c r="K59" s="316"/>
      <c r="L59" s="316"/>
      <c r="M59" s="316"/>
      <c r="N59" s="316"/>
      <c r="O59" s="316"/>
      <c r="P59" s="316"/>
      <c r="Q59" s="316"/>
      <c r="R59" s="316"/>
      <c r="S59" s="316"/>
      <c r="T59" s="316"/>
      <c r="U59" s="316"/>
      <c r="V59" s="316"/>
      <c r="W59" s="316"/>
      <c r="X59" s="316"/>
      <c r="Y59" s="316"/>
      <c r="Z59" s="317"/>
      <c r="AA59" s="317"/>
      <c r="AB59" s="317"/>
    </row>
    <row r="60" spans="3:28" hidden="1" outlineLevel="1">
      <c r="C60" s="203" t="str">
        <v>SpareOfferB19</v>
      </c>
      <c r="D60" s="316"/>
      <c r="E60" s="316"/>
      <c r="F60" s="316"/>
      <c r="G60" s="316"/>
      <c r="H60" s="316"/>
      <c r="I60" s="316"/>
      <c r="J60" s="316"/>
      <c r="K60" s="316"/>
      <c r="L60" s="316"/>
      <c r="M60" s="316"/>
      <c r="N60" s="316"/>
      <c r="O60" s="316"/>
      <c r="P60" s="316"/>
      <c r="Q60" s="316"/>
      <c r="R60" s="316"/>
      <c r="S60" s="316"/>
      <c r="T60" s="316"/>
      <c r="U60" s="316"/>
      <c r="V60" s="316"/>
      <c r="W60" s="316"/>
      <c r="X60" s="316"/>
      <c r="Y60" s="316"/>
      <c r="Z60" s="317"/>
      <c r="AA60" s="317"/>
      <c r="AB60" s="317"/>
    </row>
    <row r="61" spans="3:28" hidden="1" outlineLevel="1">
      <c r="C61" s="203" t="str">
        <v>SpareOfferB20</v>
      </c>
      <c r="D61" s="316"/>
      <c r="E61" s="316"/>
      <c r="F61" s="316"/>
      <c r="G61" s="316"/>
      <c r="H61" s="316"/>
      <c r="I61" s="316"/>
      <c r="J61" s="316"/>
      <c r="K61" s="316"/>
      <c r="L61" s="316"/>
      <c r="M61" s="316"/>
      <c r="N61" s="316"/>
      <c r="O61" s="316"/>
      <c r="P61" s="316"/>
      <c r="Q61" s="316"/>
      <c r="R61" s="316"/>
      <c r="S61" s="316"/>
      <c r="T61" s="316"/>
      <c r="U61" s="316"/>
      <c r="V61" s="316"/>
      <c r="W61" s="316"/>
      <c r="X61" s="316"/>
      <c r="Y61" s="316"/>
      <c r="Z61" s="317"/>
      <c r="AA61" s="317"/>
      <c r="AB61" s="317"/>
    </row>
    <row r="62" spans="3:28" hidden="1" outlineLevel="1">
      <c r="C62" s="203" t="str">
        <v>SpareOfferB21</v>
      </c>
      <c r="D62" s="316"/>
      <c r="E62" s="316"/>
      <c r="F62" s="316"/>
      <c r="G62" s="316"/>
      <c r="H62" s="316"/>
      <c r="I62" s="316"/>
      <c r="J62" s="316"/>
      <c r="K62" s="316"/>
      <c r="L62" s="316"/>
      <c r="M62" s="316"/>
      <c r="N62" s="316"/>
      <c r="O62" s="316"/>
      <c r="P62" s="316"/>
      <c r="Q62" s="316"/>
      <c r="R62" s="316"/>
      <c r="S62" s="316"/>
      <c r="T62" s="316"/>
      <c r="U62" s="316"/>
      <c r="V62" s="316"/>
      <c r="W62" s="316"/>
      <c r="X62" s="316"/>
      <c r="Y62" s="316"/>
      <c r="Z62" s="317"/>
      <c r="AA62" s="317"/>
      <c r="AB62" s="317"/>
    </row>
    <row r="63" spans="3:28" hidden="1" outlineLevel="1">
      <c r="C63" s="203" t="str">
        <v>SpareOfferB22</v>
      </c>
      <c r="D63" s="316"/>
      <c r="E63" s="316"/>
      <c r="F63" s="316"/>
      <c r="G63" s="316"/>
      <c r="H63" s="316"/>
      <c r="I63" s="316"/>
      <c r="J63" s="316"/>
      <c r="K63" s="316"/>
      <c r="L63" s="316"/>
      <c r="M63" s="316"/>
      <c r="N63" s="316"/>
      <c r="O63" s="316"/>
      <c r="P63" s="316"/>
      <c r="Q63" s="316"/>
      <c r="R63" s="316"/>
      <c r="S63" s="316"/>
      <c r="T63" s="316"/>
      <c r="U63" s="316"/>
      <c r="V63" s="316"/>
      <c r="W63" s="316"/>
      <c r="X63" s="316"/>
      <c r="Y63" s="316"/>
      <c r="Z63" s="317"/>
      <c r="AA63" s="317"/>
      <c r="AB63" s="317"/>
    </row>
    <row r="64" spans="3:28" hidden="1" outlineLevel="1">
      <c r="C64" s="203" t="str">
        <v>SpareOfferB23</v>
      </c>
      <c r="D64" s="316"/>
      <c r="E64" s="316"/>
      <c r="F64" s="316"/>
      <c r="G64" s="316"/>
      <c r="H64" s="316"/>
      <c r="I64" s="316"/>
      <c r="J64" s="316"/>
      <c r="K64" s="316"/>
      <c r="L64" s="316"/>
      <c r="M64" s="316"/>
      <c r="N64" s="316"/>
      <c r="O64" s="316"/>
      <c r="P64" s="316"/>
      <c r="Q64" s="316"/>
      <c r="R64" s="316"/>
      <c r="S64" s="316"/>
      <c r="T64" s="316"/>
      <c r="U64" s="316"/>
      <c r="V64" s="316"/>
      <c r="W64" s="316"/>
      <c r="X64" s="316"/>
      <c r="Y64" s="316"/>
      <c r="Z64" s="317"/>
      <c r="AA64" s="317"/>
      <c r="AB64" s="317"/>
    </row>
    <row r="65" spans="3:28" hidden="1" outlineLevel="1">
      <c r="C65" s="203" t="str">
        <v>SpareOfferB24</v>
      </c>
      <c r="D65" s="316"/>
      <c r="E65" s="316"/>
      <c r="F65" s="316"/>
      <c r="G65" s="316"/>
      <c r="H65" s="316"/>
      <c r="I65" s="316"/>
      <c r="J65" s="316"/>
      <c r="K65" s="316"/>
      <c r="L65" s="316"/>
      <c r="M65" s="316"/>
      <c r="N65" s="316"/>
      <c r="O65" s="316"/>
      <c r="P65" s="316"/>
      <c r="Q65" s="316"/>
      <c r="R65" s="316"/>
      <c r="S65" s="316"/>
      <c r="T65" s="316"/>
      <c r="U65" s="316"/>
      <c r="V65" s="316"/>
      <c r="W65" s="316"/>
      <c r="X65" s="316"/>
      <c r="Y65" s="316"/>
      <c r="Z65" s="317"/>
      <c r="AA65" s="317"/>
      <c r="AB65" s="317"/>
    </row>
    <row r="66" spans="3:28" hidden="1" outlineLevel="1">
      <c r="C66" s="203" t="str">
        <v>SpareOfferB25</v>
      </c>
      <c r="D66" s="316"/>
      <c r="E66" s="316"/>
      <c r="F66" s="316"/>
      <c r="G66" s="316"/>
      <c r="H66" s="316"/>
      <c r="I66" s="316"/>
      <c r="J66" s="316"/>
      <c r="K66" s="316"/>
      <c r="L66" s="316"/>
      <c r="M66" s="316"/>
      <c r="N66" s="316"/>
      <c r="O66" s="316"/>
      <c r="P66" s="316"/>
      <c r="Q66" s="316"/>
      <c r="R66" s="316"/>
      <c r="S66" s="316"/>
      <c r="T66" s="316"/>
      <c r="U66" s="316"/>
      <c r="V66" s="316"/>
      <c r="W66" s="316"/>
      <c r="X66" s="316"/>
      <c r="Y66" s="316"/>
      <c r="Z66" s="317"/>
      <c r="AA66" s="317"/>
      <c r="AB66" s="317"/>
    </row>
    <row r="67" spans="3:28" hidden="1" outlineLevel="1">
      <c r="C67" s="203" t="str">
        <v>SpareOfferB26</v>
      </c>
      <c r="D67" s="316"/>
      <c r="E67" s="316"/>
      <c r="F67" s="316"/>
      <c r="G67" s="316"/>
      <c r="H67" s="316"/>
      <c r="I67" s="316"/>
      <c r="J67" s="316"/>
      <c r="K67" s="316"/>
      <c r="L67" s="316"/>
      <c r="M67" s="316"/>
      <c r="N67" s="316"/>
      <c r="O67" s="316"/>
      <c r="P67" s="316"/>
      <c r="Q67" s="316"/>
      <c r="R67" s="316"/>
      <c r="S67" s="316"/>
      <c r="T67" s="316"/>
      <c r="U67" s="316"/>
      <c r="V67" s="316"/>
      <c r="W67" s="316"/>
      <c r="X67" s="316"/>
      <c r="Y67" s="316"/>
      <c r="Z67" s="317"/>
      <c r="AA67" s="317"/>
      <c r="AB67" s="317"/>
    </row>
    <row r="68" spans="3:28" hidden="1" outlineLevel="1">
      <c r="C68" s="203" t="str">
        <v>SpareOfferB27</v>
      </c>
      <c r="D68" s="316"/>
      <c r="E68" s="316"/>
      <c r="F68" s="316"/>
      <c r="G68" s="316"/>
      <c r="H68" s="316"/>
      <c r="I68" s="316"/>
      <c r="J68" s="316"/>
      <c r="K68" s="316"/>
      <c r="L68" s="316"/>
      <c r="M68" s="316"/>
      <c r="N68" s="316"/>
      <c r="O68" s="316"/>
      <c r="P68" s="316"/>
      <c r="Q68" s="316"/>
      <c r="R68" s="316"/>
      <c r="S68" s="316"/>
      <c r="T68" s="316"/>
      <c r="U68" s="316"/>
      <c r="V68" s="316"/>
      <c r="W68" s="316"/>
      <c r="X68" s="316"/>
      <c r="Y68" s="316"/>
      <c r="Z68" s="317"/>
      <c r="AA68" s="317"/>
      <c r="AB68" s="317"/>
    </row>
    <row r="69" spans="3:28" hidden="1" outlineLevel="1">
      <c r="C69" s="203" t="str">
        <v>SpareOfferB28</v>
      </c>
      <c r="D69" s="316"/>
      <c r="E69" s="316"/>
      <c r="F69" s="316"/>
      <c r="G69" s="316"/>
      <c r="H69" s="316"/>
      <c r="I69" s="316"/>
      <c r="J69" s="316"/>
      <c r="K69" s="316"/>
      <c r="L69" s="316"/>
      <c r="M69" s="316"/>
      <c r="N69" s="316"/>
      <c r="O69" s="316"/>
      <c r="P69" s="316"/>
      <c r="Q69" s="316"/>
      <c r="R69" s="316"/>
      <c r="S69" s="316"/>
      <c r="T69" s="316"/>
      <c r="U69" s="316"/>
      <c r="V69" s="316"/>
      <c r="W69" s="316"/>
      <c r="X69" s="316"/>
      <c r="Y69" s="316"/>
      <c r="Z69" s="317"/>
      <c r="AA69" s="317"/>
      <c r="AB69" s="317"/>
    </row>
    <row r="70" spans="3:28" hidden="1" outlineLevel="1">
      <c r="C70" s="203" t="str">
        <v>SpareOfferB29</v>
      </c>
      <c r="D70" s="316"/>
      <c r="E70" s="316"/>
      <c r="F70" s="316"/>
      <c r="G70" s="316"/>
      <c r="H70" s="316"/>
      <c r="I70" s="316"/>
      <c r="J70" s="316"/>
      <c r="K70" s="316"/>
      <c r="L70" s="316"/>
      <c r="M70" s="316"/>
      <c r="N70" s="316"/>
      <c r="O70" s="316"/>
      <c r="P70" s="316"/>
      <c r="Q70" s="316"/>
      <c r="R70" s="316"/>
      <c r="S70" s="316"/>
      <c r="T70" s="316"/>
      <c r="U70" s="316"/>
      <c r="V70" s="316"/>
      <c r="W70" s="316"/>
      <c r="X70" s="316"/>
      <c r="Y70" s="316"/>
      <c r="Z70" s="317"/>
      <c r="AA70" s="317"/>
      <c r="AB70" s="317"/>
    </row>
    <row r="71" spans="3:28" hidden="1" outlineLevel="1">
      <c r="C71" s="203" t="str">
        <v>SpareOfferB30</v>
      </c>
      <c r="D71" s="316"/>
      <c r="E71" s="316"/>
      <c r="F71" s="316"/>
      <c r="G71" s="316"/>
      <c r="H71" s="316"/>
      <c r="I71" s="316"/>
      <c r="J71" s="316"/>
      <c r="K71" s="316"/>
      <c r="L71" s="316"/>
      <c r="M71" s="316"/>
      <c r="N71" s="316"/>
      <c r="O71" s="316"/>
      <c r="P71" s="316"/>
      <c r="Q71" s="316"/>
      <c r="R71" s="316"/>
      <c r="S71" s="316"/>
      <c r="T71" s="316"/>
      <c r="U71" s="316"/>
      <c r="V71" s="316"/>
      <c r="W71" s="316"/>
      <c r="X71" s="316"/>
      <c r="Y71" s="316"/>
      <c r="Z71" s="317"/>
      <c r="AA71" s="317"/>
      <c r="AB71" s="317"/>
    </row>
    <row r="72" spans="3:28" hidden="1" outlineLevel="1">
      <c r="C72" s="203" t="str">
        <v>SpareOfferB31</v>
      </c>
      <c r="D72" s="316"/>
      <c r="E72" s="316"/>
      <c r="F72" s="316"/>
      <c r="G72" s="316"/>
      <c r="H72" s="316"/>
      <c r="I72" s="316"/>
      <c r="J72" s="316"/>
      <c r="K72" s="316"/>
      <c r="L72" s="316"/>
      <c r="M72" s="316"/>
      <c r="N72" s="316"/>
      <c r="O72" s="316"/>
      <c r="P72" s="316"/>
      <c r="Q72" s="316"/>
      <c r="R72" s="316"/>
      <c r="S72" s="316"/>
      <c r="T72" s="316"/>
      <c r="U72" s="316"/>
      <c r="V72" s="316"/>
      <c r="W72" s="316"/>
      <c r="X72" s="316"/>
      <c r="Y72" s="316"/>
      <c r="Z72" s="317"/>
      <c r="AA72" s="317"/>
      <c r="AB72" s="317"/>
    </row>
    <row r="73" spans="3:28" hidden="1" outlineLevel="1">
      <c r="C73" s="203" t="str">
        <v>SpareOfferB32</v>
      </c>
      <c r="D73" s="316"/>
      <c r="E73" s="316"/>
      <c r="F73" s="316"/>
      <c r="G73" s="316"/>
      <c r="H73" s="316"/>
      <c r="I73" s="316"/>
      <c r="J73" s="316"/>
      <c r="K73" s="316"/>
      <c r="L73" s="316"/>
      <c r="M73" s="316"/>
      <c r="N73" s="316"/>
      <c r="O73" s="316"/>
      <c r="P73" s="316"/>
      <c r="Q73" s="316"/>
      <c r="R73" s="316"/>
      <c r="S73" s="316"/>
      <c r="T73" s="316"/>
      <c r="U73" s="316"/>
      <c r="V73" s="316"/>
      <c r="W73" s="316"/>
      <c r="X73" s="316"/>
      <c r="Y73" s="316"/>
      <c r="Z73" s="317"/>
      <c r="AA73" s="317"/>
      <c r="AB73" s="317"/>
    </row>
    <row r="74" spans="3:28" hidden="1" outlineLevel="1">
      <c r="C74" s="203" t="str">
        <v>SpareOfferB33</v>
      </c>
      <c r="D74" s="316"/>
      <c r="E74" s="316"/>
      <c r="F74" s="316"/>
      <c r="G74" s="316"/>
      <c r="H74" s="316"/>
      <c r="I74" s="316"/>
      <c r="J74" s="316"/>
      <c r="K74" s="316"/>
      <c r="L74" s="316"/>
      <c r="M74" s="316"/>
      <c r="N74" s="316"/>
      <c r="O74" s="316"/>
      <c r="P74" s="316"/>
      <c r="Q74" s="316"/>
      <c r="R74" s="316"/>
      <c r="S74" s="316"/>
      <c r="T74" s="316"/>
      <c r="U74" s="316"/>
      <c r="V74" s="316"/>
      <c r="W74" s="316"/>
      <c r="X74" s="316"/>
      <c r="Y74" s="316"/>
      <c r="Z74" s="317"/>
      <c r="AA74" s="317"/>
      <c r="AB74" s="317"/>
    </row>
    <row r="75" spans="3:28" hidden="1" outlineLevel="1">
      <c r="C75" s="203" t="str">
        <v>SpareOfferB34</v>
      </c>
      <c r="D75" s="316"/>
      <c r="E75" s="316"/>
      <c r="F75" s="316"/>
      <c r="G75" s="316"/>
      <c r="H75" s="316"/>
      <c r="I75" s="316"/>
      <c r="J75" s="316"/>
      <c r="K75" s="316"/>
      <c r="L75" s="316"/>
      <c r="M75" s="316"/>
      <c r="N75" s="316"/>
      <c r="O75" s="316"/>
      <c r="P75" s="316"/>
      <c r="Q75" s="316"/>
      <c r="R75" s="316"/>
      <c r="S75" s="316"/>
      <c r="T75" s="316"/>
      <c r="U75" s="316"/>
      <c r="V75" s="316"/>
      <c r="W75" s="316"/>
      <c r="X75" s="316"/>
      <c r="Y75" s="316"/>
      <c r="Z75" s="317"/>
      <c r="AA75" s="317"/>
      <c r="AB75" s="317"/>
    </row>
    <row r="76" spans="3:28" hidden="1" outlineLevel="1">
      <c r="C76" s="203" t="str">
        <v>SpareOfferB35</v>
      </c>
      <c r="D76" s="316"/>
      <c r="E76" s="316"/>
      <c r="F76" s="316"/>
      <c r="G76" s="316"/>
      <c r="H76" s="316"/>
      <c r="I76" s="316"/>
      <c r="J76" s="316"/>
      <c r="K76" s="316"/>
      <c r="L76" s="316"/>
      <c r="M76" s="316"/>
      <c r="N76" s="316"/>
      <c r="O76" s="316"/>
      <c r="P76" s="316"/>
      <c r="Q76" s="316"/>
      <c r="R76" s="316"/>
      <c r="S76" s="316"/>
      <c r="T76" s="316"/>
      <c r="U76" s="316"/>
      <c r="V76" s="316"/>
      <c r="W76" s="316"/>
      <c r="X76" s="316"/>
      <c r="Y76" s="316"/>
      <c r="Z76" s="317"/>
      <c r="AA76" s="317"/>
      <c r="AB76" s="317"/>
    </row>
    <row r="77" spans="3:28" hidden="1" outlineLevel="1">
      <c r="C77" s="201" t="str">
        <f t="array" ref="C77:C111">offers.segment.3</f>
        <v>SpareOfferC1</v>
      </c>
      <c r="D77" s="316"/>
      <c r="E77" s="316"/>
      <c r="F77" s="316"/>
      <c r="G77" s="316"/>
      <c r="H77" s="316"/>
      <c r="I77" s="316"/>
      <c r="J77" s="316"/>
      <c r="K77" s="316"/>
      <c r="L77" s="316"/>
      <c r="M77" s="316"/>
      <c r="N77" s="316"/>
      <c r="O77" s="316"/>
      <c r="P77" s="316"/>
      <c r="Q77" s="316"/>
      <c r="R77" s="316"/>
      <c r="S77" s="316"/>
      <c r="T77" s="316"/>
      <c r="U77" s="316"/>
      <c r="V77" s="316"/>
      <c r="W77" s="316"/>
      <c r="X77" s="316"/>
      <c r="Y77" s="316"/>
      <c r="Z77" s="317"/>
      <c r="AA77" s="317"/>
      <c r="AB77" s="317"/>
    </row>
    <row r="78" spans="3:28" hidden="1" outlineLevel="1">
      <c r="C78" s="201" t="str">
        <v>SpareOfferC2</v>
      </c>
      <c r="D78" s="316"/>
      <c r="E78" s="316"/>
      <c r="F78" s="316"/>
      <c r="G78" s="316"/>
      <c r="H78" s="316"/>
      <c r="I78" s="316"/>
      <c r="J78" s="316"/>
      <c r="K78" s="316"/>
      <c r="L78" s="316"/>
      <c r="M78" s="316"/>
      <c r="N78" s="316"/>
      <c r="O78" s="316"/>
      <c r="P78" s="316"/>
      <c r="Q78" s="316"/>
      <c r="R78" s="316"/>
      <c r="S78" s="316"/>
      <c r="T78" s="316"/>
      <c r="U78" s="316"/>
      <c r="V78" s="316"/>
      <c r="W78" s="316"/>
      <c r="X78" s="316"/>
      <c r="Y78" s="316"/>
      <c r="Z78" s="317"/>
      <c r="AA78" s="317"/>
      <c r="AB78" s="317"/>
    </row>
    <row r="79" spans="3:28" hidden="1" outlineLevel="1">
      <c r="C79" s="201" t="str">
        <v>SpareOfferC3</v>
      </c>
      <c r="D79" s="316"/>
      <c r="E79" s="316"/>
      <c r="F79" s="316"/>
      <c r="G79" s="316"/>
      <c r="H79" s="316"/>
      <c r="I79" s="316"/>
      <c r="J79" s="316"/>
      <c r="K79" s="316"/>
      <c r="L79" s="316"/>
      <c r="M79" s="316"/>
      <c r="N79" s="316"/>
      <c r="O79" s="316"/>
      <c r="P79" s="316"/>
      <c r="Q79" s="316"/>
      <c r="R79" s="316"/>
      <c r="S79" s="316"/>
      <c r="T79" s="316"/>
      <c r="U79" s="316"/>
      <c r="V79" s="316"/>
      <c r="W79" s="316"/>
      <c r="X79" s="316"/>
      <c r="Y79" s="316"/>
      <c r="Z79" s="317"/>
      <c r="AA79" s="317"/>
      <c r="AB79" s="317"/>
    </row>
    <row r="80" spans="3:28" hidden="1" outlineLevel="1">
      <c r="C80" s="201" t="str">
        <v>SpareOfferC4</v>
      </c>
      <c r="D80" s="316"/>
      <c r="E80" s="316"/>
      <c r="F80" s="316"/>
      <c r="G80" s="316"/>
      <c r="H80" s="316"/>
      <c r="I80" s="316"/>
      <c r="J80" s="316"/>
      <c r="K80" s="316"/>
      <c r="L80" s="316"/>
      <c r="M80" s="316"/>
      <c r="N80" s="316"/>
      <c r="O80" s="316"/>
      <c r="P80" s="316"/>
      <c r="Q80" s="316"/>
      <c r="R80" s="316"/>
      <c r="S80" s="316"/>
      <c r="T80" s="316"/>
      <c r="U80" s="316"/>
      <c r="V80" s="316"/>
      <c r="W80" s="316"/>
      <c r="X80" s="316"/>
      <c r="Y80" s="316"/>
      <c r="Z80" s="317"/>
      <c r="AA80" s="317"/>
      <c r="AB80" s="317"/>
    </row>
    <row r="81" spans="3:28" hidden="1" outlineLevel="1">
      <c r="C81" s="201" t="str">
        <v>SpareOfferC5</v>
      </c>
      <c r="D81" s="316"/>
      <c r="E81" s="316"/>
      <c r="F81" s="316"/>
      <c r="G81" s="316"/>
      <c r="H81" s="316"/>
      <c r="I81" s="316"/>
      <c r="J81" s="316"/>
      <c r="K81" s="316"/>
      <c r="L81" s="316"/>
      <c r="M81" s="316"/>
      <c r="N81" s="316"/>
      <c r="O81" s="316"/>
      <c r="P81" s="316"/>
      <c r="Q81" s="316"/>
      <c r="R81" s="316"/>
      <c r="S81" s="316"/>
      <c r="T81" s="316"/>
      <c r="U81" s="316"/>
      <c r="V81" s="316"/>
      <c r="W81" s="316"/>
      <c r="X81" s="316"/>
      <c r="Y81" s="316"/>
      <c r="Z81" s="317"/>
      <c r="AA81" s="317"/>
      <c r="AB81" s="317"/>
    </row>
    <row r="82" spans="3:28" hidden="1" outlineLevel="1">
      <c r="C82" s="201" t="str">
        <v>SpareOfferC6</v>
      </c>
      <c r="D82" s="316"/>
      <c r="E82" s="316"/>
      <c r="F82" s="316"/>
      <c r="G82" s="316"/>
      <c r="H82" s="316"/>
      <c r="I82" s="316"/>
      <c r="J82" s="316"/>
      <c r="K82" s="316"/>
      <c r="L82" s="316"/>
      <c r="M82" s="316"/>
      <c r="N82" s="316"/>
      <c r="O82" s="316"/>
      <c r="P82" s="316"/>
      <c r="Q82" s="316"/>
      <c r="R82" s="316"/>
      <c r="S82" s="316"/>
      <c r="T82" s="316"/>
      <c r="U82" s="316"/>
      <c r="V82" s="316"/>
      <c r="W82" s="316"/>
      <c r="X82" s="316"/>
      <c r="Y82" s="316"/>
      <c r="Z82" s="317"/>
      <c r="AA82" s="317"/>
      <c r="AB82" s="317"/>
    </row>
    <row r="83" spans="3:28" hidden="1" outlineLevel="1">
      <c r="C83" s="201" t="str">
        <v>SpareOfferC7</v>
      </c>
      <c r="D83" s="316"/>
      <c r="E83" s="316"/>
      <c r="F83" s="316"/>
      <c r="G83" s="316"/>
      <c r="H83" s="316"/>
      <c r="I83" s="316"/>
      <c r="J83" s="316"/>
      <c r="K83" s="316"/>
      <c r="L83" s="316"/>
      <c r="M83" s="316"/>
      <c r="N83" s="316"/>
      <c r="O83" s="316"/>
      <c r="P83" s="316"/>
      <c r="Q83" s="316"/>
      <c r="R83" s="316"/>
      <c r="S83" s="316"/>
      <c r="T83" s="316"/>
      <c r="U83" s="316"/>
      <c r="V83" s="316"/>
      <c r="W83" s="316"/>
      <c r="X83" s="316"/>
      <c r="Y83" s="316"/>
      <c r="Z83" s="317"/>
      <c r="AA83" s="317"/>
      <c r="AB83" s="317"/>
    </row>
    <row r="84" spans="3:28" hidden="1" outlineLevel="1">
      <c r="C84" s="201" t="str">
        <v>SpareOfferC8</v>
      </c>
      <c r="D84" s="316"/>
      <c r="E84" s="316"/>
      <c r="F84" s="316"/>
      <c r="G84" s="316"/>
      <c r="H84" s="316"/>
      <c r="I84" s="316"/>
      <c r="J84" s="316"/>
      <c r="K84" s="316"/>
      <c r="L84" s="316"/>
      <c r="M84" s="316"/>
      <c r="N84" s="316"/>
      <c r="O84" s="316"/>
      <c r="P84" s="316"/>
      <c r="Q84" s="316"/>
      <c r="R84" s="316"/>
      <c r="S84" s="316"/>
      <c r="T84" s="316"/>
      <c r="U84" s="316"/>
      <c r="V84" s="316"/>
      <c r="W84" s="316"/>
      <c r="X84" s="316"/>
      <c r="Y84" s="316"/>
      <c r="Z84" s="317"/>
      <c r="AA84" s="317"/>
      <c r="AB84" s="317"/>
    </row>
    <row r="85" spans="3:28" hidden="1" outlineLevel="1">
      <c r="C85" s="201" t="str">
        <v>SpareOfferC9</v>
      </c>
      <c r="D85" s="316"/>
      <c r="E85" s="316"/>
      <c r="F85" s="316"/>
      <c r="G85" s="316"/>
      <c r="H85" s="316"/>
      <c r="I85" s="316"/>
      <c r="J85" s="316"/>
      <c r="K85" s="316"/>
      <c r="L85" s="316"/>
      <c r="M85" s="316"/>
      <c r="N85" s="316"/>
      <c r="O85" s="316"/>
      <c r="P85" s="316"/>
      <c r="Q85" s="316"/>
      <c r="R85" s="316"/>
      <c r="S85" s="316"/>
      <c r="T85" s="316"/>
      <c r="U85" s="316"/>
      <c r="V85" s="316"/>
      <c r="W85" s="316"/>
      <c r="X85" s="316"/>
      <c r="Y85" s="316"/>
      <c r="Z85" s="317"/>
      <c r="AA85" s="317"/>
      <c r="AB85" s="317"/>
    </row>
    <row r="86" spans="3:28" hidden="1" outlineLevel="1">
      <c r="C86" s="201" t="str">
        <v>SpareOfferC10</v>
      </c>
      <c r="D86" s="316"/>
      <c r="E86" s="316"/>
      <c r="F86" s="316"/>
      <c r="G86" s="316"/>
      <c r="H86" s="316"/>
      <c r="I86" s="316"/>
      <c r="J86" s="316"/>
      <c r="K86" s="316"/>
      <c r="L86" s="316"/>
      <c r="M86" s="316"/>
      <c r="N86" s="316"/>
      <c r="O86" s="316"/>
      <c r="P86" s="316"/>
      <c r="Q86" s="316"/>
      <c r="R86" s="316"/>
      <c r="S86" s="316"/>
      <c r="T86" s="316"/>
      <c r="U86" s="316"/>
      <c r="V86" s="316"/>
      <c r="W86" s="316"/>
      <c r="X86" s="316"/>
      <c r="Y86" s="316"/>
      <c r="Z86" s="317"/>
      <c r="AA86" s="317"/>
      <c r="AB86" s="317"/>
    </row>
    <row r="87" spans="3:28" hidden="1" outlineLevel="1">
      <c r="C87" s="201" t="str">
        <v>SpareOfferC11</v>
      </c>
      <c r="D87" s="316"/>
      <c r="E87" s="316"/>
      <c r="F87" s="316"/>
      <c r="G87" s="316"/>
      <c r="H87" s="316"/>
      <c r="I87" s="316"/>
      <c r="J87" s="316"/>
      <c r="K87" s="316"/>
      <c r="L87" s="316"/>
      <c r="M87" s="316"/>
      <c r="N87" s="316"/>
      <c r="O87" s="316"/>
      <c r="P87" s="316"/>
      <c r="Q87" s="316"/>
      <c r="R87" s="316"/>
      <c r="S87" s="316"/>
      <c r="T87" s="316"/>
      <c r="U87" s="316"/>
      <c r="V87" s="316"/>
      <c r="W87" s="316"/>
      <c r="X87" s="316"/>
      <c r="Y87" s="316"/>
      <c r="Z87" s="317"/>
      <c r="AA87" s="317"/>
      <c r="AB87" s="317"/>
    </row>
    <row r="88" spans="3:28" hidden="1" outlineLevel="1">
      <c r="C88" s="201" t="str">
        <v>SpareOfferC12</v>
      </c>
      <c r="D88" s="316"/>
      <c r="E88" s="316"/>
      <c r="F88" s="316"/>
      <c r="G88" s="316"/>
      <c r="H88" s="316"/>
      <c r="I88" s="316"/>
      <c r="J88" s="316"/>
      <c r="K88" s="316"/>
      <c r="L88" s="316"/>
      <c r="M88" s="316"/>
      <c r="N88" s="316"/>
      <c r="O88" s="316"/>
      <c r="P88" s="316"/>
      <c r="Q88" s="316"/>
      <c r="R88" s="316"/>
      <c r="S88" s="316"/>
      <c r="T88" s="316"/>
      <c r="U88" s="316"/>
      <c r="V88" s="316"/>
      <c r="W88" s="316"/>
      <c r="X88" s="316"/>
      <c r="Y88" s="316"/>
      <c r="Z88" s="317"/>
      <c r="AA88" s="317"/>
      <c r="AB88" s="317"/>
    </row>
    <row r="89" spans="3:28" hidden="1" outlineLevel="1">
      <c r="C89" s="201" t="str">
        <v>SpareOfferC13</v>
      </c>
      <c r="D89" s="316"/>
      <c r="E89" s="316"/>
      <c r="F89" s="316"/>
      <c r="G89" s="316"/>
      <c r="H89" s="316"/>
      <c r="I89" s="316"/>
      <c r="J89" s="316"/>
      <c r="K89" s="316"/>
      <c r="L89" s="316"/>
      <c r="M89" s="316"/>
      <c r="N89" s="316"/>
      <c r="O89" s="316"/>
      <c r="P89" s="316"/>
      <c r="Q89" s="316"/>
      <c r="R89" s="316"/>
      <c r="S89" s="316"/>
      <c r="T89" s="316"/>
      <c r="U89" s="316"/>
      <c r="V89" s="316"/>
      <c r="W89" s="316"/>
      <c r="X89" s="316"/>
      <c r="Y89" s="316"/>
      <c r="Z89" s="317"/>
      <c r="AA89" s="317"/>
      <c r="AB89" s="317"/>
    </row>
    <row r="90" spans="3:28" hidden="1" outlineLevel="1">
      <c r="C90" s="201" t="str">
        <v>SpareOfferC14</v>
      </c>
      <c r="D90" s="316"/>
      <c r="E90" s="316"/>
      <c r="F90" s="316"/>
      <c r="G90" s="316"/>
      <c r="H90" s="316"/>
      <c r="I90" s="316"/>
      <c r="J90" s="316"/>
      <c r="K90" s="316"/>
      <c r="L90" s="316"/>
      <c r="M90" s="316"/>
      <c r="N90" s="316"/>
      <c r="O90" s="316"/>
      <c r="P90" s="316"/>
      <c r="Q90" s="316"/>
      <c r="R90" s="316"/>
      <c r="S90" s="316"/>
      <c r="T90" s="316"/>
      <c r="U90" s="316"/>
      <c r="V90" s="316"/>
      <c r="W90" s="316"/>
      <c r="X90" s="316"/>
      <c r="Y90" s="316"/>
      <c r="Z90" s="317"/>
      <c r="AA90" s="317"/>
      <c r="AB90" s="317"/>
    </row>
    <row r="91" spans="3:28" hidden="1" outlineLevel="1">
      <c r="C91" s="201" t="str">
        <v>SpareOfferC15</v>
      </c>
      <c r="D91" s="316"/>
      <c r="E91" s="316"/>
      <c r="F91" s="316"/>
      <c r="G91" s="316"/>
      <c r="H91" s="316"/>
      <c r="I91" s="316"/>
      <c r="J91" s="316"/>
      <c r="K91" s="316"/>
      <c r="L91" s="316"/>
      <c r="M91" s="316"/>
      <c r="N91" s="316"/>
      <c r="O91" s="316"/>
      <c r="P91" s="316"/>
      <c r="Q91" s="316"/>
      <c r="R91" s="316"/>
      <c r="S91" s="316"/>
      <c r="T91" s="316"/>
      <c r="U91" s="316"/>
      <c r="V91" s="316"/>
      <c r="W91" s="316"/>
      <c r="X91" s="316"/>
      <c r="Y91" s="316"/>
      <c r="Z91" s="317"/>
      <c r="AA91" s="317"/>
      <c r="AB91" s="317"/>
    </row>
    <row r="92" spans="3:28" hidden="1" outlineLevel="1">
      <c r="C92" s="201" t="str">
        <v>SpareOfferC16</v>
      </c>
      <c r="D92" s="316"/>
      <c r="E92" s="316"/>
      <c r="F92" s="316"/>
      <c r="G92" s="316"/>
      <c r="H92" s="316"/>
      <c r="I92" s="316"/>
      <c r="J92" s="316"/>
      <c r="K92" s="316"/>
      <c r="L92" s="316"/>
      <c r="M92" s="316"/>
      <c r="N92" s="316"/>
      <c r="O92" s="316"/>
      <c r="P92" s="316"/>
      <c r="Q92" s="316"/>
      <c r="R92" s="316"/>
      <c r="S92" s="316"/>
      <c r="T92" s="316"/>
      <c r="U92" s="316"/>
      <c r="V92" s="316"/>
      <c r="W92" s="316"/>
      <c r="X92" s="316"/>
      <c r="Y92" s="316"/>
      <c r="Z92" s="317"/>
      <c r="AA92" s="317"/>
      <c r="AB92" s="317"/>
    </row>
    <row r="93" spans="3:28" hidden="1" outlineLevel="1">
      <c r="C93" s="201" t="str">
        <v>SpareOfferC17</v>
      </c>
      <c r="D93" s="316"/>
      <c r="E93" s="316"/>
      <c r="F93" s="316"/>
      <c r="G93" s="316"/>
      <c r="H93" s="316"/>
      <c r="I93" s="316"/>
      <c r="J93" s="316"/>
      <c r="K93" s="316"/>
      <c r="L93" s="316"/>
      <c r="M93" s="316"/>
      <c r="N93" s="316"/>
      <c r="O93" s="316"/>
      <c r="P93" s="316"/>
      <c r="Q93" s="316"/>
      <c r="R93" s="316"/>
      <c r="S93" s="316"/>
      <c r="T93" s="316"/>
      <c r="U93" s="316"/>
      <c r="V93" s="316"/>
      <c r="W93" s="316"/>
      <c r="X93" s="316"/>
      <c r="Y93" s="316"/>
      <c r="Z93" s="317"/>
      <c r="AA93" s="317"/>
      <c r="AB93" s="317"/>
    </row>
    <row r="94" spans="3:28" hidden="1" outlineLevel="1">
      <c r="C94" s="201" t="str">
        <v>SpareOfferC18</v>
      </c>
      <c r="D94" s="316"/>
      <c r="E94" s="316"/>
      <c r="F94" s="316"/>
      <c r="G94" s="316"/>
      <c r="H94" s="316"/>
      <c r="I94" s="316"/>
      <c r="J94" s="316"/>
      <c r="K94" s="316"/>
      <c r="L94" s="316"/>
      <c r="M94" s="316"/>
      <c r="N94" s="316"/>
      <c r="O94" s="316"/>
      <c r="P94" s="316"/>
      <c r="Q94" s="316"/>
      <c r="R94" s="316"/>
      <c r="S94" s="316"/>
      <c r="T94" s="316"/>
      <c r="U94" s="316"/>
      <c r="V94" s="316"/>
      <c r="W94" s="316"/>
      <c r="X94" s="316"/>
      <c r="Y94" s="316"/>
      <c r="Z94" s="317"/>
      <c r="AA94" s="317"/>
      <c r="AB94" s="317"/>
    </row>
    <row r="95" spans="3:28" hidden="1" outlineLevel="1">
      <c r="C95" s="201" t="str">
        <v>SpareOfferC19</v>
      </c>
      <c r="D95" s="316"/>
      <c r="E95" s="316"/>
      <c r="F95" s="316"/>
      <c r="G95" s="316"/>
      <c r="H95" s="316"/>
      <c r="I95" s="316"/>
      <c r="J95" s="316"/>
      <c r="K95" s="316"/>
      <c r="L95" s="316"/>
      <c r="M95" s="316"/>
      <c r="N95" s="316"/>
      <c r="O95" s="316"/>
      <c r="P95" s="316"/>
      <c r="Q95" s="316"/>
      <c r="R95" s="316"/>
      <c r="S95" s="316"/>
      <c r="T95" s="316"/>
      <c r="U95" s="316"/>
      <c r="V95" s="316"/>
      <c r="W95" s="316"/>
      <c r="X95" s="316"/>
      <c r="Y95" s="316"/>
      <c r="Z95" s="317"/>
      <c r="AA95" s="317"/>
      <c r="AB95" s="317"/>
    </row>
    <row r="96" spans="3:28" hidden="1" outlineLevel="1">
      <c r="C96" s="201" t="str">
        <v>SpareOfferC20</v>
      </c>
      <c r="D96" s="316"/>
      <c r="E96" s="316"/>
      <c r="F96" s="316"/>
      <c r="G96" s="316"/>
      <c r="H96" s="316"/>
      <c r="I96" s="316"/>
      <c r="J96" s="316"/>
      <c r="K96" s="316"/>
      <c r="L96" s="316"/>
      <c r="M96" s="316"/>
      <c r="N96" s="316"/>
      <c r="O96" s="316"/>
      <c r="P96" s="316"/>
      <c r="Q96" s="316"/>
      <c r="R96" s="316"/>
      <c r="S96" s="316"/>
      <c r="T96" s="316"/>
      <c r="U96" s="316"/>
      <c r="V96" s="316"/>
      <c r="W96" s="316"/>
      <c r="X96" s="316"/>
      <c r="Y96" s="316"/>
      <c r="Z96" s="317"/>
      <c r="AA96" s="317"/>
      <c r="AB96" s="317"/>
    </row>
    <row r="97" spans="3:28" hidden="1" outlineLevel="1">
      <c r="C97" s="201" t="str">
        <v>SpareOfferC21</v>
      </c>
      <c r="D97" s="316"/>
      <c r="E97" s="316"/>
      <c r="F97" s="316"/>
      <c r="G97" s="316"/>
      <c r="H97" s="316"/>
      <c r="I97" s="316"/>
      <c r="J97" s="316"/>
      <c r="K97" s="316"/>
      <c r="L97" s="316"/>
      <c r="M97" s="316"/>
      <c r="N97" s="316"/>
      <c r="O97" s="316"/>
      <c r="P97" s="316"/>
      <c r="Q97" s="316"/>
      <c r="R97" s="316"/>
      <c r="S97" s="316"/>
      <c r="T97" s="316"/>
      <c r="U97" s="316"/>
      <c r="V97" s="316"/>
      <c r="W97" s="316"/>
      <c r="X97" s="316"/>
      <c r="Y97" s="316"/>
      <c r="Z97" s="317"/>
      <c r="AA97" s="317"/>
      <c r="AB97" s="317"/>
    </row>
    <row r="98" spans="3:28" hidden="1" outlineLevel="1">
      <c r="C98" s="201" t="str">
        <v>SpareOfferC22</v>
      </c>
      <c r="D98" s="316"/>
      <c r="E98" s="316"/>
      <c r="F98" s="316"/>
      <c r="G98" s="316"/>
      <c r="H98" s="316"/>
      <c r="I98" s="316"/>
      <c r="J98" s="316"/>
      <c r="K98" s="316"/>
      <c r="L98" s="316"/>
      <c r="M98" s="316"/>
      <c r="N98" s="316"/>
      <c r="O98" s="316"/>
      <c r="P98" s="316"/>
      <c r="Q98" s="316"/>
      <c r="R98" s="316"/>
      <c r="S98" s="316"/>
      <c r="T98" s="316"/>
      <c r="U98" s="316"/>
      <c r="V98" s="316"/>
      <c r="W98" s="316"/>
      <c r="X98" s="316"/>
      <c r="Y98" s="316"/>
      <c r="Z98" s="317"/>
      <c r="AA98" s="317"/>
      <c r="AB98" s="317"/>
    </row>
    <row r="99" spans="3:28" hidden="1" outlineLevel="1">
      <c r="C99" s="201" t="str">
        <v>SpareOfferC23</v>
      </c>
      <c r="D99" s="316"/>
      <c r="E99" s="316"/>
      <c r="F99" s="316"/>
      <c r="G99" s="316"/>
      <c r="H99" s="316"/>
      <c r="I99" s="316"/>
      <c r="J99" s="316"/>
      <c r="K99" s="316"/>
      <c r="L99" s="316"/>
      <c r="M99" s="316"/>
      <c r="N99" s="316"/>
      <c r="O99" s="316"/>
      <c r="P99" s="316"/>
      <c r="Q99" s="316"/>
      <c r="R99" s="316"/>
      <c r="S99" s="316"/>
      <c r="T99" s="316"/>
      <c r="U99" s="316"/>
      <c r="V99" s="316"/>
      <c r="W99" s="316"/>
      <c r="X99" s="316"/>
      <c r="Y99" s="316"/>
      <c r="Z99" s="317"/>
      <c r="AA99" s="317"/>
      <c r="AB99" s="317"/>
    </row>
    <row r="100" spans="3:28" hidden="1" outlineLevel="1">
      <c r="C100" s="201" t="str">
        <v>SpareOfferC24</v>
      </c>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7"/>
      <c r="AA100" s="317"/>
      <c r="AB100" s="317"/>
    </row>
    <row r="101" spans="3:28" hidden="1" outlineLevel="1">
      <c r="C101" s="201" t="str">
        <v>SpareOfferC25</v>
      </c>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7"/>
      <c r="AA101" s="317"/>
      <c r="AB101" s="317"/>
    </row>
    <row r="102" spans="3:28" hidden="1" outlineLevel="1">
      <c r="C102" s="201" t="str">
        <v>SpareOfferC26</v>
      </c>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7"/>
      <c r="AA102" s="317"/>
      <c r="AB102" s="317"/>
    </row>
    <row r="103" spans="3:28" hidden="1" outlineLevel="1">
      <c r="C103" s="201" t="str">
        <v>SpareOfferC27</v>
      </c>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7"/>
      <c r="AA103" s="317"/>
      <c r="AB103" s="317"/>
    </row>
    <row r="104" spans="3:28" hidden="1" outlineLevel="1">
      <c r="C104" s="201" t="str">
        <v>SpareOfferC28</v>
      </c>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7"/>
      <c r="AA104" s="317"/>
      <c r="AB104" s="317"/>
    </row>
    <row r="105" spans="3:28" hidden="1" outlineLevel="1">
      <c r="C105" s="201" t="str">
        <v>SpareOfferC29</v>
      </c>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7"/>
      <c r="AA105" s="317"/>
      <c r="AB105" s="317"/>
    </row>
    <row r="106" spans="3:28" hidden="1" outlineLevel="1">
      <c r="C106" s="201" t="str">
        <v>SpareOfferC30</v>
      </c>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7"/>
      <c r="AA106" s="317"/>
      <c r="AB106" s="317"/>
    </row>
    <row r="107" spans="3:28" hidden="1" outlineLevel="1">
      <c r="C107" s="201" t="str">
        <v>SpareOfferC31</v>
      </c>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7"/>
      <c r="AA107" s="317"/>
      <c r="AB107" s="317"/>
    </row>
    <row r="108" spans="3:28" hidden="1" outlineLevel="1">
      <c r="C108" s="201" t="str">
        <v>SpareOfferC32</v>
      </c>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7"/>
      <c r="AA108" s="317"/>
      <c r="AB108" s="317"/>
    </row>
    <row r="109" spans="3:28" hidden="1" outlineLevel="1">
      <c r="C109" s="201" t="str">
        <v>SpareOfferC33</v>
      </c>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7"/>
      <c r="AA109" s="317"/>
      <c r="AB109" s="317"/>
    </row>
    <row r="110" spans="3:28" hidden="1" outlineLevel="1">
      <c r="C110" s="201" t="str">
        <v>SpareOfferC34</v>
      </c>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7"/>
      <c r="AA110" s="317"/>
      <c r="AB110" s="317"/>
    </row>
    <row r="111" spans="3:28" hidden="1" outlineLevel="1">
      <c r="C111" s="201" t="str">
        <v>SpareOfferC35</v>
      </c>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7"/>
      <c r="AA111" s="317"/>
      <c r="AB111" s="317"/>
    </row>
    <row r="112" spans="3:28" hidden="1" outlineLevel="1">
      <c r="C112" s="203" t="str">
        <f t="array" ref="C112:C146">offers.segment.4</f>
        <v>SpareOfferD1</v>
      </c>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7"/>
      <c r="AA112" s="317"/>
      <c r="AB112" s="317"/>
    </row>
    <row r="113" spans="3:28" hidden="1" outlineLevel="1">
      <c r="C113" s="203" t="str">
        <v>SpareOfferD2</v>
      </c>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7"/>
      <c r="AA113" s="317"/>
      <c r="AB113" s="317"/>
    </row>
    <row r="114" spans="3:28" hidden="1" outlineLevel="1">
      <c r="C114" s="203" t="str">
        <v>SpareOfferD3</v>
      </c>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7"/>
      <c r="AA114" s="317"/>
      <c r="AB114" s="317"/>
    </row>
    <row r="115" spans="3:28" hidden="1" outlineLevel="1">
      <c r="C115" s="203" t="str">
        <v>SpareOfferD4</v>
      </c>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7"/>
      <c r="AA115" s="317"/>
      <c r="AB115" s="317"/>
    </row>
    <row r="116" spans="3:28" hidden="1" outlineLevel="1">
      <c r="C116" s="203" t="str">
        <v>SpareOfferD5</v>
      </c>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7"/>
      <c r="AA116" s="317"/>
      <c r="AB116" s="317"/>
    </row>
    <row r="117" spans="3:28" hidden="1" outlineLevel="1">
      <c r="C117" s="203" t="str">
        <v>SpareOfferD6</v>
      </c>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7"/>
      <c r="AA117" s="317"/>
      <c r="AB117" s="317"/>
    </row>
    <row r="118" spans="3:28" hidden="1" outlineLevel="1">
      <c r="C118" s="203" t="str">
        <v>SpareOfferD7</v>
      </c>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7"/>
      <c r="AA118" s="317"/>
      <c r="AB118" s="317"/>
    </row>
    <row r="119" spans="3:28" hidden="1" outlineLevel="1">
      <c r="C119" s="203" t="str">
        <v>SpareOfferD8</v>
      </c>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7"/>
      <c r="AA119" s="317"/>
      <c r="AB119" s="317"/>
    </row>
    <row r="120" spans="3:28" hidden="1" outlineLevel="1">
      <c r="C120" s="203" t="str">
        <v>SpareOfferD9</v>
      </c>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7"/>
      <c r="AA120" s="317"/>
      <c r="AB120" s="317"/>
    </row>
    <row r="121" spans="3:28" hidden="1" outlineLevel="1">
      <c r="C121" s="203" t="str">
        <v>SpareOfferD10</v>
      </c>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7"/>
      <c r="AA121" s="317"/>
      <c r="AB121" s="317"/>
    </row>
    <row r="122" spans="3:28" hidden="1" outlineLevel="1">
      <c r="C122" s="203" t="str">
        <v>SpareOfferD11</v>
      </c>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7"/>
      <c r="AA122" s="317"/>
      <c r="AB122" s="317"/>
    </row>
    <row r="123" spans="3:28" hidden="1" outlineLevel="1">
      <c r="C123" s="203" t="str">
        <v>SpareOfferD12</v>
      </c>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7"/>
      <c r="AA123" s="317"/>
      <c r="AB123" s="317"/>
    </row>
    <row r="124" spans="3:28" hidden="1" outlineLevel="1">
      <c r="C124" s="203" t="str">
        <v>SpareOfferD13</v>
      </c>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7"/>
      <c r="AA124" s="317"/>
      <c r="AB124" s="317"/>
    </row>
    <row r="125" spans="3:28" hidden="1" outlineLevel="1">
      <c r="C125" s="203" t="str">
        <v>SpareOfferD14</v>
      </c>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7"/>
      <c r="AA125" s="317"/>
      <c r="AB125" s="317"/>
    </row>
    <row r="126" spans="3:28" hidden="1" outlineLevel="1">
      <c r="C126" s="203" t="str">
        <v>SpareOfferD15</v>
      </c>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7"/>
      <c r="AA126" s="317"/>
      <c r="AB126" s="317"/>
    </row>
    <row r="127" spans="3:28" hidden="1" outlineLevel="1">
      <c r="C127" s="203" t="str">
        <v>SpareOfferD16</v>
      </c>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7"/>
      <c r="AA127" s="317"/>
      <c r="AB127" s="317"/>
    </row>
    <row r="128" spans="3:28" hidden="1" outlineLevel="1">
      <c r="C128" s="203" t="str">
        <v>SpareOfferD17</v>
      </c>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7"/>
      <c r="AA128" s="317"/>
      <c r="AB128" s="317"/>
    </row>
    <row r="129" spans="3:28" hidden="1" outlineLevel="1">
      <c r="C129" s="203" t="str">
        <v>SpareOfferD18</v>
      </c>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7"/>
      <c r="AA129" s="317"/>
      <c r="AB129" s="317"/>
    </row>
    <row r="130" spans="3:28" hidden="1" outlineLevel="1">
      <c r="C130" s="203" t="str">
        <v>SpareOfferD19</v>
      </c>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7"/>
      <c r="AA130" s="317"/>
      <c r="AB130" s="317"/>
    </row>
    <row r="131" spans="3:28" hidden="1" outlineLevel="1">
      <c r="C131" s="203" t="str">
        <v>SpareOfferD20</v>
      </c>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7"/>
      <c r="AA131" s="317"/>
      <c r="AB131" s="317"/>
    </row>
    <row r="132" spans="3:28" hidden="1" outlineLevel="1">
      <c r="C132" s="203" t="str">
        <v>SpareOfferD21</v>
      </c>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7"/>
      <c r="AA132" s="317"/>
      <c r="AB132" s="317"/>
    </row>
    <row r="133" spans="3:28" hidden="1" outlineLevel="1">
      <c r="C133" s="203" t="str">
        <v>SpareOfferD22</v>
      </c>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7"/>
      <c r="AA133" s="317"/>
      <c r="AB133" s="317"/>
    </row>
    <row r="134" spans="3:28" hidden="1" outlineLevel="1">
      <c r="C134" s="203" t="str">
        <v>SpareOfferD23</v>
      </c>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7"/>
      <c r="AA134" s="317"/>
      <c r="AB134" s="317"/>
    </row>
    <row r="135" spans="3:28" hidden="1" outlineLevel="1">
      <c r="C135" s="203" t="str">
        <v>SpareOfferD24</v>
      </c>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7"/>
      <c r="AA135" s="317"/>
      <c r="AB135" s="317"/>
    </row>
    <row r="136" spans="3:28" hidden="1" outlineLevel="1">
      <c r="C136" s="203" t="str">
        <v>SpareOfferD25</v>
      </c>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7"/>
      <c r="AA136" s="317"/>
      <c r="AB136" s="317"/>
    </row>
    <row r="137" spans="3:28" hidden="1" outlineLevel="1">
      <c r="C137" s="203" t="str">
        <v>SpareOfferD26</v>
      </c>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7"/>
      <c r="AA137" s="317"/>
      <c r="AB137" s="317"/>
    </row>
    <row r="138" spans="3:28" hidden="1" outlineLevel="1">
      <c r="C138" s="203" t="str">
        <v>SpareOfferD27</v>
      </c>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7"/>
      <c r="AA138" s="317"/>
      <c r="AB138" s="317"/>
    </row>
    <row r="139" spans="3:28" hidden="1" outlineLevel="1">
      <c r="C139" s="203" t="str">
        <v>SpareOfferD28</v>
      </c>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7"/>
      <c r="AA139" s="317"/>
      <c r="AB139" s="317"/>
    </row>
    <row r="140" spans="3:28" hidden="1" outlineLevel="1">
      <c r="C140" s="203" t="str">
        <v>SpareOfferD29</v>
      </c>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7"/>
      <c r="AA140" s="317"/>
      <c r="AB140" s="317"/>
    </row>
    <row r="141" spans="3:28" hidden="1" outlineLevel="1">
      <c r="C141" s="203" t="str">
        <v>SpareOfferD30</v>
      </c>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7"/>
      <c r="AA141" s="317"/>
      <c r="AB141" s="317"/>
    </row>
    <row r="142" spans="3:28" hidden="1" outlineLevel="1">
      <c r="C142" s="203" t="str">
        <v>SpareOfferD31</v>
      </c>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7"/>
      <c r="AA142" s="317"/>
      <c r="AB142" s="317"/>
    </row>
    <row r="143" spans="3:28" hidden="1" outlineLevel="1">
      <c r="C143" s="203" t="str">
        <v>SpareOfferD32</v>
      </c>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7"/>
      <c r="AA143" s="317"/>
      <c r="AB143" s="317"/>
    </row>
    <row r="144" spans="3:28" hidden="1" outlineLevel="1">
      <c r="C144" s="203" t="str">
        <v>SpareOfferD33</v>
      </c>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7"/>
      <c r="AA144" s="317"/>
      <c r="AB144" s="317"/>
    </row>
    <row r="145" spans="2:29" hidden="1" outlineLevel="1">
      <c r="C145" s="203" t="str">
        <v>SpareOfferD34</v>
      </c>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7"/>
      <c r="AA145" s="317"/>
      <c r="AB145" s="317"/>
    </row>
    <row r="146" spans="2:29" collapsed="1">
      <c r="C146" s="203" t="str">
        <v>-</v>
      </c>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7"/>
      <c r="AA146" s="317"/>
      <c r="AB146" s="317"/>
    </row>
    <row r="147" spans="2:29" ht="12">
      <c r="C147" s="204"/>
      <c r="D147" s="43" t="s">
        <v>441</v>
      </c>
      <c r="E147" s="204"/>
      <c r="F147" s="204"/>
      <c r="G147" s="204"/>
      <c r="H147" s="204"/>
      <c r="I147" s="204"/>
      <c r="J147" s="204"/>
      <c r="K147" s="204"/>
      <c r="L147" s="204"/>
      <c r="M147" s="204"/>
      <c r="N147" s="204"/>
      <c r="O147" s="204"/>
      <c r="P147" s="204"/>
      <c r="Q147" s="204"/>
      <c r="R147" s="204"/>
      <c r="S147" s="205"/>
      <c r="T147" s="205"/>
      <c r="U147" s="202"/>
      <c r="V147" s="202"/>
      <c r="W147" s="202"/>
      <c r="X147" s="202"/>
      <c r="Y147" s="202"/>
      <c r="Z147" s="202"/>
      <c r="AA147" s="202"/>
      <c r="AC147" s="43" t="s">
        <v>443</v>
      </c>
    </row>
    <row r="149" spans="2:29" ht="15.5">
      <c r="B149" s="36" t="s">
        <v>445</v>
      </c>
    </row>
    <row r="150" spans="2:29">
      <c r="D150" s="1"/>
      <c r="E150" s="187" t="s">
        <v>427</v>
      </c>
      <c r="F150" s="187"/>
      <c r="G150" s="187"/>
      <c r="H150" s="187"/>
      <c r="I150" s="187"/>
      <c r="J150" s="188" t="s">
        <v>428</v>
      </c>
      <c r="K150" s="188"/>
      <c r="L150" s="188"/>
      <c r="M150" s="189" t="s">
        <v>429</v>
      </c>
      <c r="N150" s="189"/>
      <c r="O150" s="189"/>
      <c r="P150" s="189"/>
      <c r="Q150" s="189"/>
      <c r="R150" s="189"/>
      <c r="S150" s="189"/>
      <c r="T150" s="189"/>
      <c r="U150" s="189"/>
      <c r="V150" s="189"/>
      <c r="W150" s="189"/>
      <c r="X150" s="190" t="s">
        <v>430</v>
      </c>
      <c r="Y150" s="190"/>
      <c r="Z150" s="191" t="s">
        <v>139</v>
      </c>
      <c r="AA150" s="191"/>
      <c r="AB150" s="191"/>
    </row>
    <row r="151" spans="2:29" ht="34.5">
      <c r="C151" s="1" t="s">
        <v>309</v>
      </c>
      <c r="D151" s="1" t="s">
        <v>882</v>
      </c>
      <c r="E151" s="192" t="s">
        <v>306</v>
      </c>
      <c r="F151" s="192" t="s">
        <v>307</v>
      </c>
      <c r="G151" s="193" t="s">
        <v>379</v>
      </c>
      <c r="H151" s="193" t="s">
        <v>380</v>
      </c>
      <c r="I151" s="194" t="s">
        <v>431</v>
      </c>
      <c r="J151" s="195" t="s">
        <v>432</v>
      </c>
      <c r="K151" s="195" t="s">
        <v>433</v>
      </c>
      <c r="L151" s="195" t="s">
        <v>434</v>
      </c>
      <c r="M151" s="196" t="s">
        <v>524</v>
      </c>
      <c r="N151" s="196" t="s">
        <v>525</v>
      </c>
      <c r="O151" s="196" t="s">
        <v>586</v>
      </c>
      <c r="P151" s="196" t="s">
        <v>587</v>
      </c>
      <c r="Q151" s="197" t="s">
        <v>435</v>
      </c>
      <c r="R151" s="198" t="s">
        <v>526</v>
      </c>
      <c r="S151" s="198" t="s">
        <v>527</v>
      </c>
      <c r="T151" s="198" t="s">
        <v>436</v>
      </c>
      <c r="U151" s="199" t="s">
        <v>528</v>
      </c>
      <c r="V151" s="199" t="s">
        <v>529</v>
      </c>
      <c r="W151" s="199" t="s">
        <v>437</v>
      </c>
      <c r="X151" s="200" t="s">
        <v>438</v>
      </c>
      <c r="Y151" s="200" t="s">
        <v>439</v>
      </c>
      <c r="Z151" s="191" t="s">
        <v>440</v>
      </c>
      <c r="AA151" s="191" t="s">
        <v>883</v>
      </c>
      <c r="AB151" s="191" t="s">
        <v>884</v>
      </c>
      <c r="AC151" s="43" t="s">
        <v>460</v>
      </c>
    </row>
    <row r="152" spans="2:29">
      <c r="C152" s="201" t="str">
        <f t="array" ref="C152:C186">offers.segment.1</f>
        <v>SpareOfferA1</v>
      </c>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7"/>
      <c r="AA152" s="317"/>
      <c r="AB152" s="317"/>
    </row>
    <row r="153" spans="2:29" hidden="1" outlineLevel="1">
      <c r="C153" s="201" t="str">
        <v>SpareOfferA2</v>
      </c>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7"/>
      <c r="AA153" s="317"/>
      <c r="AB153" s="317"/>
    </row>
    <row r="154" spans="2:29" hidden="1" outlineLevel="1">
      <c r="C154" s="201" t="str">
        <v>SpareOfferA3</v>
      </c>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7"/>
      <c r="AA154" s="317"/>
      <c r="AB154" s="317"/>
    </row>
    <row r="155" spans="2:29" hidden="1" outlineLevel="1">
      <c r="C155" s="201" t="str">
        <v>SpareOfferA4</v>
      </c>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7"/>
      <c r="AA155" s="317"/>
      <c r="AB155" s="317"/>
    </row>
    <row r="156" spans="2:29" hidden="1" outlineLevel="1">
      <c r="C156" s="201" t="str">
        <v>SpareOfferA5</v>
      </c>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7"/>
      <c r="AA156" s="317"/>
      <c r="AB156" s="317"/>
    </row>
    <row r="157" spans="2:29" hidden="1" outlineLevel="1">
      <c r="C157" s="201" t="str">
        <v>SpareOfferA6</v>
      </c>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7"/>
      <c r="AA157" s="317"/>
      <c r="AB157" s="317"/>
    </row>
    <row r="158" spans="2:29" hidden="1" outlineLevel="1">
      <c r="C158" s="201" t="str">
        <v>SpareOfferA7</v>
      </c>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7"/>
      <c r="AA158" s="317"/>
      <c r="AB158" s="317"/>
    </row>
    <row r="159" spans="2:29" hidden="1" outlineLevel="1">
      <c r="C159" s="201" t="str">
        <v>SpareOfferA8</v>
      </c>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7"/>
      <c r="AA159" s="317"/>
      <c r="AB159" s="317"/>
    </row>
    <row r="160" spans="2:29" hidden="1" outlineLevel="1">
      <c r="C160" s="201" t="str">
        <v>SpareOfferA9</v>
      </c>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7"/>
      <c r="AA160" s="317"/>
      <c r="AB160" s="317"/>
    </row>
    <row r="161" spans="3:28" hidden="1" outlineLevel="1">
      <c r="C161" s="201" t="str">
        <v>SpareOfferA10</v>
      </c>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7"/>
      <c r="AA161" s="317"/>
      <c r="AB161" s="317"/>
    </row>
    <row r="162" spans="3:28" hidden="1" outlineLevel="1">
      <c r="C162" s="201" t="str">
        <v>SpareOfferA11</v>
      </c>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7"/>
      <c r="AA162" s="317"/>
      <c r="AB162" s="317"/>
    </row>
    <row r="163" spans="3:28" hidden="1" outlineLevel="1">
      <c r="C163" s="201" t="str">
        <v>SpareOfferA12</v>
      </c>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7"/>
      <c r="AA163" s="317"/>
      <c r="AB163" s="317"/>
    </row>
    <row r="164" spans="3:28" hidden="1" outlineLevel="1">
      <c r="C164" s="201" t="str">
        <v>SpareOfferA13</v>
      </c>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7"/>
      <c r="AA164" s="317"/>
      <c r="AB164" s="317"/>
    </row>
    <row r="165" spans="3:28" hidden="1" outlineLevel="1">
      <c r="C165" s="201" t="str">
        <v>SpareOfferA14</v>
      </c>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7"/>
      <c r="AA165" s="317"/>
      <c r="AB165" s="317"/>
    </row>
    <row r="166" spans="3:28" hidden="1" outlineLevel="1">
      <c r="C166" s="201" t="str">
        <v>SpareOfferA15</v>
      </c>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7"/>
      <c r="AA166" s="317"/>
      <c r="AB166" s="317"/>
    </row>
    <row r="167" spans="3:28" hidden="1" outlineLevel="1">
      <c r="C167" s="201" t="str">
        <v>SpareOfferA16</v>
      </c>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7"/>
      <c r="AA167" s="317"/>
      <c r="AB167" s="317"/>
    </row>
    <row r="168" spans="3:28" hidden="1" outlineLevel="1">
      <c r="C168" s="201" t="str">
        <v>SpareOfferA17</v>
      </c>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7"/>
      <c r="AA168" s="317"/>
      <c r="AB168" s="317"/>
    </row>
    <row r="169" spans="3:28" hidden="1" outlineLevel="1">
      <c r="C169" s="201" t="str">
        <v>SpareOfferA18</v>
      </c>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7"/>
      <c r="AA169" s="317"/>
      <c r="AB169" s="317"/>
    </row>
    <row r="170" spans="3:28" hidden="1" outlineLevel="1">
      <c r="C170" s="201" t="str">
        <v>SpareOfferA19</v>
      </c>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7"/>
      <c r="AA170" s="317"/>
      <c r="AB170" s="317"/>
    </row>
    <row r="171" spans="3:28" hidden="1" outlineLevel="1">
      <c r="C171" s="201" t="str">
        <v>SpareOfferA20</v>
      </c>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7"/>
      <c r="AA171" s="317"/>
      <c r="AB171" s="317"/>
    </row>
    <row r="172" spans="3:28" hidden="1" outlineLevel="1">
      <c r="C172" s="201" t="str">
        <v>SpareOfferA21</v>
      </c>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7"/>
      <c r="AA172" s="317"/>
      <c r="AB172" s="317"/>
    </row>
    <row r="173" spans="3:28" hidden="1" outlineLevel="1">
      <c r="C173" s="201" t="str">
        <v>SpareOfferA22</v>
      </c>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7"/>
      <c r="AA173" s="317"/>
      <c r="AB173" s="317"/>
    </row>
    <row r="174" spans="3:28" hidden="1" outlineLevel="1">
      <c r="C174" s="201" t="str">
        <v>SpareOfferA23</v>
      </c>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7"/>
      <c r="AA174" s="317"/>
      <c r="AB174" s="317"/>
    </row>
    <row r="175" spans="3:28" hidden="1" outlineLevel="1">
      <c r="C175" s="201" t="str">
        <v>SpareOfferA24</v>
      </c>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7"/>
      <c r="AA175" s="317"/>
      <c r="AB175" s="317"/>
    </row>
    <row r="176" spans="3:28" hidden="1" outlineLevel="1">
      <c r="C176" s="201" t="str">
        <v>SpareOfferA25</v>
      </c>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7"/>
      <c r="AA176" s="317"/>
      <c r="AB176" s="317"/>
    </row>
    <row r="177" spans="3:28" hidden="1" outlineLevel="1">
      <c r="C177" s="201" t="str">
        <v>SpareOfferA26</v>
      </c>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7"/>
      <c r="AA177" s="317"/>
      <c r="AB177" s="317"/>
    </row>
    <row r="178" spans="3:28" hidden="1" outlineLevel="1">
      <c r="C178" s="201" t="str">
        <v>SpareOfferA27</v>
      </c>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7"/>
      <c r="AA178" s="317"/>
      <c r="AB178" s="317"/>
    </row>
    <row r="179" spans="3:28" hidden="1" outlineLevel="1">
      <c r="C179" s="201" t="str">
        <v>SpareOfferA28</v>
      </c>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7"/>
      <c r="AA179" s="317"/>
      <c r="AB179" s="317"/>
    </row>
    <row r="180" spans="3:28" hidden="1" outlineLevel="1">
      <c r="C180" s="201" t="str">
        <v>SpareOfferA29</v>
      </c>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7"/>
      <c r="AA180" s="317"/>
      <c r="AB180" s="317"/>
    </row>
    <row r="181" spans="3:28" hidden="1" outlineLevel="1">
      <c r="C181" s="201" t="str">
        <v>SpareOfferA30</v>
      </c>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7"/>
      <c r="AA181" s="317"/>
      <c r="AB181" s="317"/>
    </row>
    <row r="182" spans="3:28" hidden="1" outlineLevel="1">
      <c r="C182" s="201" t="str">
        <v>SpareOfferA31</v>
      </c>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7"/>
      <c r="AA182" s="317"/>
      <c r="AB182" s="317"/>
    </row>
    <row r="183" spans="3:28" hidden="1" outlineLevel="1">
      <c r="C183" s="201" t="str">
        <v>SpareOfferA32</v>
      </c>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7"/>
      <c r="AA183" s="317"/>
      <c r="AB183" s="317"/>
    </row>
    <row r="184" spans="3:28" hidden="1" outlineLevel="1">
      <c r="C184" s="201" t="str">
        <v>SpareOfferA33</v>
      </c>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7"/>
      <c r="AA184" s="317"/>
      <c r="AB184" s="317"/>
    </row>
    <row r="185" spans="3:28" hidden="1" outlineLevel="1">
      <c r="C185" s="201" t="str">
        <v>SpareOfferA34</v>
      </c>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7"/>
      <c r="AA185" s="317"/>
      <c r="AB185" s="317"/>
    </row>
    <row r="186" spans="3:28" hidden="1" outlineLevel="1">
      <c r="C186" s="201" t="str">
        <v>SpareOfferA35</v>
      </c>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7"/>
      <c r="AA186" s="317"/>
      <c r="AB186" s="317"/>
    </row>
    <row r="187" spans="3:28" hidden="1" outlineLevel="1">
      <c r="C187" s="203" t="str">
        <f t="array" ref="C187:C221">offers.segment.2</f>
        <v>SpareOfferB1</v>
      </c>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7"/>
      <c r="AA187" s="317"/>
      <c r="AB187" s="317"/>
    </row>
    <row r="188" spans="3:28" hidden="1" outlineLevel="1">
      <c r="C188" s="203" t="str">
        <v>SpareOfferB2</v>
      </c>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7"/>
      <c r="AA188" s="317"/>
      <c r="AB188" s="317"/>
    </row>
    <row r="189" spans="3:28" hidden="1" outlineLevel="1">
      <c r="C189" s="203" t="str">
        <v>SpareOfferB3</v>
      </c>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7"/>
      <c r="AA189" s="317"/>
      <c r="AB189" s="317"/>
    </row>
    <row r="190" spans="3:28" hidden="1" outlineLevel="1">
      <c r="C190" s="203" t="str">
        <v>SpareOfferB4</v>
      </c>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7"/>
      <c r="AA190" s="317"/>
      <c r="AB190" s="317"/>
    </row>
    <row r="191" spans="3:28" hidden="1" outlineLevel="1">
      <c r="C191" s="203" t="str">
        <v>SpareOfferB5</v>
      </c>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7"/>
      <c r="AA191" s="317"/>
      <c r="AB191" s="317"/>
    </row>
    <row r="192" spans="3:28" hidden="1" outlineLevel="1">
      <c r="C192" s="203" t="str">
        <v>SpareOfferB6</v>
      </c>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7"/>
      <c r="AA192" s="317"/>
      <c r="AB192" s="317"/>
    </row>
    <row r="193" spans="3:28" hidden="1" outlineLevel="1">
      <c r="C193" s="203" t="str">
        <v>SpareOfferB7</v>
      </c>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7"/>
      <c r="AA193" s="317"/>
      <c r="AB193" s="317"/>
    </row>
    <row r="194" spans="3:28" hidden="1" outlineLevel="1">
      <c r="C194" s="203" t="str">
        <v>SpareOfferB8</v>
      </c>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7"/>
      <c r="AA194" s="317"/>
      <c r="AB194" s="317"/>
    </row>
    <row r="195" spans="3:28" hidden="1" outlineLevel="1">
      <c r="C195" s="203" t="str">
        <v>SpareOfferB9</v>
      </c>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7"/>
      <c r="AA195" s="317"/>
      <c r="AB195" s="317"/>
    </row>
    <row r="196" spans="3:28" hidden="1" outlineLevel="1">
      <c r="C196" s="203" t="str">
        <v>SpareOfferB10</v>
      </c>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7"/>
      <c r="AA196" s="317"/>
      <c r="AB196" s="317"/>
    </row>
    <row r="197" spans="3:28" hidden="1" outlineLevel="1">
      <c r="C197" s="203" t="str">
        <v>SpareOfferB11</v>
      </c>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7"/>
      <c r="AA197" s="317"/>
      <c r="AB197" s="317"/>
    </row>
    <row r="198" spans="3:28" hidden="1" outlineLevel="1">
      <c r="C198" s="203" t="str">
        <v>SpareOfferB12</v>
      </c>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7"/>
      <c r="AA198" s="317"/>
      <c r="AB198" s="317"/>
    </row>
    <row r="199" spans="3:28" hidden="1" outlineLevel="1">
      <c r="C199" s="203" t="str">
        <v>SpareOfferB13</v>
      </c>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7"/>
      <c r="AA199" s="317"/>
      <c r="AB199" s="317"/>
    </row>
    <row r="200" spans="3:28" hidden="1" outlineLevel="1">
      <c r="C200" s="203" t="str">
        <v>SpareOfferB14</v>
      </c>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7"/>
      <c r="AA200" s="317"/>
      <c r="AB200" s="317"/>
    </row>
    <row r="201" spans="3:28" hidden="1" outlineLevel="1">
      <c r="C201" s="203" t="str">
        <v>SpareOfferB15</v>
      </c>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7"/>
      <c r="AA201" s="317"/>
      <c r="AB201" s="317"/>
    </row>
    <row r="202" spans="3:28" hidden="1" outlineLevel="1">
      <c r="C202" s="203" t="str">
        <v>SpareOfferB16</v>
      </c>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7"/>
      <c r="AA202" s="317"/>
      <c r="AB202" s="317"/>
    </row>
    <row r="203" spans="3:28" hidden="1" outlineLevel="1">
      <c r="C203" s="203" t="str">
        <v>SpareOfferB17</v>
      </c>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7"/>
      <c r="AA203" s="317"/>
      <c r="AB203" s="317"/>
    </row>
    <row r="204" spans="3:28" hidden="1" outlineLevel="1">
      <c r="C204" s="203" t="str">
        <v>SpareOfferB18</v>
      </c>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7"/>
      <c r="AA204" s="317"/>
      <c r="AB204" s="317"/>
    </row>
    <row r="205" spans="3:28" hidden="1" outlineLevel="1">
      <c r="C205" s="203" t="str">
        <v>SpareOfferB19</v>
      </c>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7"/>
      <c r="AA205" s="317"/>
      <c r="AB205" s="317"/>
    </row>
    <row r="206" spans="3:28" hidden="1" outlineLevel="1">
      <c r="C206" s="203" t="str">
        <v>SpareOfferB20</v>
      </c>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7"/>
      <c r="AA206" s="317"/>
      <c r="AB206" s="317"/>
    </row>
    <row r="207" spans="3:28" hidden="1" outlineLevel="1">
      <c r="C207" s="203" t="str">
        <v>SpareOfferB21</v>
      </c>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7"/>
      <c r="AA207" s="317"/>
      <c r="AB207" s="317"/>
    </row>
    <row r="208" spans="3:28" hidden="1" outlineLevel="1">
      <c r="C208" s="203" t="str">
        <v>SpareOfferB22</v>
      </c>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7"/>
      <c r="AA208" s="317"/>
      <c r="AB208" s="317"/>
    </row>
    <row r="209" spans="3:28" hidden="1" outlineLevel="1">
      <c r="C209" s="203" t="str">
        <v>SpareOfferB23</v>
      </c>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7"/>
      <c r="AA209" s="317"/>
      <c r="AB209" s="317"/>
    </row>
    <row r="210" spans="3:28" hidden="1" outlineLevel="1">
      <c r="C210" s="203" t="str">
        <v>SpareOfferB24</v>
      </c>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7"/>
      <c r="AA210" s="317"/>
      <c r="AB210" s="317"/>
    </row>
    <row r="211" spans="3:28" hidden="1" outlineLevel="1">
      <c r="C211" s="203" t="str">
        <v>SpareOfferB25</v>
      </c>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7"/>
      <c r="AA211" s="317"/>
      <c r="AB211" s="317"/>
    </row>
    <row r="212" spans="3:28" hidden="1" outlineLevel="1">
      <c r="C212" s="203" t="str">
        <v>SpareOfferB26</v>
      </c>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7"/>
      <c r="AA212" s="317"/>
      <c r="AB212" s="317"/>
    </row>
    <row r="213" spans="3:28" hidden="1" outlineLevel="1">
      <c r="C213" s="203" t="str">
        <v>SpareOfferB27</v>
      </c>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7"/>
      <c r="AA213" s="317"/>
      <c r="AB213" s="317"/>
    </row>
    <row r="214" spans="3:28" hidden="1" outlineLevel="1">
      <c r="C214" s="203" t="str">
        <v>SpareOfferB28</v>
      </c>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7"/>
      <c r="AA214" s="317"/>
      <c r="AB214" s="317"/>
    </row>
    <row r="215" spans="3:28" hidden="1" outlineLevel="1">
      <c r="C215" s="203" t="str">
        <v>SpareOfferB29</v>
      </c>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7"/>
      <c r="AA215" s="317"/>
      <c r="AB215" s="317"/>
    </row>
    <row r="216" spans="3:28" hidden="1" outlineLevel="1">
      <c r="C216" s="203" t="str">
        <v>SpareOfferB30</v>
      </c>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7"/>
      <c r="AA216" s="317"/>
      <c r="AB216" s="317"/>
    </row>
    <row r="217" spans="3:28" hidden="1" outlineLevel="1">
      <c r="C217" s="203" t="str">
        <v>SpareOfferB31</v>
      </c>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7"/>
      <c r="AA217" s="317"/>
      <c r="AB217" s="317"/>
    </row>
    <row r="218" spans="3:28" hidden="1" outlineLevel="1">
      <c r="C218" s="203" t="str">
        <v>SpareOfferB32</v>
      </c>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7"/>
      <c r="AA218" s="317"/>
      <c r="AB218" s="317"/>
    </row>
    <row r="219" spans="3:28" hidden="1" outlineLevel="1">
      <c r="C219" s="203" t="str">
        <v>SpareOfferB33</v>
      </c>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7"/>
      <c r="AA219" s="317"/>
      <c r="AB219" s="317"/>
    </row>
    <row r="220" spans="3:28" hidden="1" outlineLevel="1">
      <c r="C220" s="203" t="str">
        <v>SpareOfferB34</v>
      </c>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7"/>
      <c r="AA220" s="317"/>
      <c r="AB220" s="317"/>
    </row>
    <row r="221" spans="3:28" hidden="1" outlineLevel="1">
      <c r="C221" s="203" t="str">
        <v>SpareOfferB35</v>
      </c>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7"/>
      <c r="AA221" s="317"/>
      <c r="AB221" s="317"/>
    </row>
    <row r="222" spans="3:28" hidden="1" outlineLevel="1">
      <c r="C222" s="201" t="str">
        <f t="array" ref="C222:C256">offers.segment.3</f>
        <v>SpareOfferC1</v>
      </c>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7"/>
      <c r="AA222" s="317"/>
      <c r="AB222" s="317"/>
    </row>
    <row r="223" spans="3:28" hidden="1" outlineLevel="1">
      <c r="C223" s="201" t="str">
        <v>SpareOfferC2</v>
      </c>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7"/>
      <c r="AA223" s="317"/>
      <c r="AB223" s="317"/>
    </row>
    <row r="224" spans="3:28" hidden="1" outlineLevel="1">
      <c r="C224" s="201" t="str">
        <v>SpareOfferC3</v>
      </c>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7"/>
      <c r="AA224" s="317"/>
      <c r="AB224" s="317"/>
    </row>
    <row r="225" spans="3:28" hidden="1" outlineLevel="1">
      <c r="C225" s="201" t="str">
        <v>SpareOfferC4</v>
      </c>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7"/>
      <c r="AA225" s="317"/>
      <c r="AB225" s="317"/>
    </row>
    <row r="226" spans="3:28" hidden="1" outlineLevel="1">
      <c r="C226" s="201" t="str">
        <v>SpareOfferC5</v>
      </c>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7"/>
      <c r="AA226" s="317"/>
      <c r="AB226" s="317"/>
    </row>
    <row r="227" spans="3:28" hidden="1" outlineLevel="1">
      <c r="C227" s="201" t="str">
        <v>SpareOfferC6</v>
      </c>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7"/>
      <c r="AA227" s="317"/>
      <c r="AB227" s="317"/>
    </row>
    <row r="228" spans="3:28" hidden="1" outlineLevel="1">
      <c r="C228" s="201" t="str">
        <v>SpareOfferC7</v>
      </c>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7"/>
      <c r="AA228" s="317"/>
      <c r="AB228" s="317"/>
    </row>
    <row r="229" spans="3:28" hidden="1" outlineLevel="1">
      <c r="C229" s="201" t="str">
        <v>SpareOfferC8</v>
      </c>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7"/>
      <c r="AA229" s="317"/>
      <c r="AB229" s="317"/>
    </row>
    <row r="230" spans="3:28" hidden="1" outlineLevel="1">
      <c r="C230" s="201" t="str">
        <v>SpareOfferC9</v>
      </c>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7"/>
      <c r="AA230" s="317"/>
      <c r="AB230" s="317"/>
    </row>
    <row r="231" spans="3:28" hidden="1" outlineLevel="1">
      <c r="C231" s="201" t="str">
        <v>SpareOfferC10</v>
      </c>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7"/>
      <c r="AA231" s="317"/>
      <c r="AB231" s="317"/>
    </row>
    <row r="232" spans="3:28" hidden="1" outlineLevel="1">
      <c r="C232" s="201" t="str">
        <v>SpareOfferC11</v>
      </c>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7"/>
      <c r="AA232" s="317"/>
      <c r="AB232" s="317"/>
    </row>
    <row r="233" spans="3:28" hidden="1" outlineLevel="1">
      <c r="C233" s="201" t="str">
        <v>SpareOfferC12</v>
      </c>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7"/>
      <c r="AA233" s="317"/>
      <c r="AB233" s="317"/>
    </row>
    <row r="234" spans="3:28" hidden="1" outlineLevel="1">
      <c r="C234" s="201" t="str">
        <v>SpareOfferC13</v>
      </c>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7"/>
      <c r="AA234" s="317"/>
      <c r="AB234" s="317"/>
    </row>
    <row r="235" spans="3:28" hidden="1" outlineLevel="1">
      <c r="C235" s="201" t="str">
        <v>SpareOfferC14</v>
      </c>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7"/>
      <c r="AA235" s="317"/>
      <c r="AB235" s="317"/>
    </row>
    <row r="236" spans="3:28" hidden="1" outlineLevel="1">
      <c r="C236" s="201" t="str">
        <v>SpareOfferC15</v>
      </c>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7"/>
      <c r="AA236" s="317"/>
      <c r="AB236" s="317"/>
    </row>
    <row r="237" spans="3:28" hidden="1" outlineLevel="1">
      <c r="C237" s="201" t="str">
        <v>SpareOfferC16</v>
      </c>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7"/>
      <c r="AA237" s="317"/>
      <c r="AB237" s="317"/>
    </row>
    <row r="238" spans="3:28" hidden="1" outlineLevel="1">
      <c r="C238" s="201" t="str">
        <v>SpareOfferC17</v>
      </c>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7"/>
      <c r="AA238" s="317"/>
      <c r="AB238" s="317"/>
    </row>
    <row r="239" spans="3:28" hidden="1" outlineLevel="1">
      <c r="C239" s="201" t="str">
        <v>SpareOfferC18</v>
      </c>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7"/>
      <c r="AA239" s="317"/>
      <c r="AB239" s="317"/>
    </row>
    <row r="240" spans="3:28" hidden="1" outlineLevel="1">
      <c r="C240" s="201" t="str">
        <v>SpareOfferC19</v>
      </c>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7"/>
      <c r="AA240" s="317"/>
      <c r="AB240" s="317"/>
    </row>
    <row r="241" spans="3:28" hidden="1" outlineLevel="1">
      <c r="C241" s="201" t="str">
        <v>SpareOfferC20</v>
      </c>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7"/>
      <c r="AA241" s="317"/>
      <c r="AB241" s="317"/>
    </row>
    <row r="242" spans="3:28" hidden="1" outlineLevel="1">
      <c r="C242" s="201" t="str">
        <v>SpareOfferC21</v>
      </c>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7"/>
      <c r="AA242" s="317"/>
      <c r="AB242" s="317"/>
    </row>
    <row r="243" spans="3:28" hidden="1" outlineLevel="1">
      <c r="C243" s="201" t="str">
        <v>SpareOfferC22</v>
      </c>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7"/>
      <c r="AA243" s="317"/>
      <c r="AB243" s="317"/>
    </row>
    <row r="244" spans="3:28" hidden="1" outlineLevel="1">
      <c r="C244" s="201" t="str">
        <v>SpareOfferC23</v>
      </c>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7"/>
      <c r="AA244" s="317"/>
      <c r="AB244" s="317"/>
    </row>
    <row r="245" spans="3:28" hidden="1" outlineLevel="1">
      <c r="C245" s="201" t="str">
        <v>SpareOfferC24</v>
      </c>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7"/>
      <c r="AA245" s="317"/>
      <c r="AB245" s="317"/>
    </row>
    <row r="246" spans="3:28" hidden="1" outlineLevel="1">
      <c r="C246" s="201" t="str">
        <v>SpareOfferC25</v>
      </c>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7"/>
      <c r="AA246" s="317"/>
      <c r="AB246" s="317"/>
    </row>
    <row r="247" spans="3:28" hidden="1" outlineLevel="1">
      <c r="C247" s="201" t="str">
        <v>SpareOfferC26</v>
      </c>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7"/>
      <c r="AA247" s="317"/>
      <c r="AB247" s="317"/>
    </row>
    <row r="248" spans="3:28" hidden="1" outlineLevel="1">
      <c r="C248" s="201" t="str">
        <v>SpareOfferC27</v>
      </c>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7"/>
      <c r="AA248" s="317"/>
      <c r="AB248" s="317"/>
    </row>
    <row r="249" spans="3:28" hidden="1" outlineLevel="1">
      <c r="C249" s="201" t="str">
        <v>SpareOfferC28</v>
      </c>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7"/>
      <c r="AA249" s="317"/>
      <c r="AB249" s="317"/>
    </row>
    <row r="250" spans="3:28" hidden="1" outlineLevel="1">
      <c r="C250" s="201" t="str">
        <v>SpareOfferC29</v>
      </c>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7"/>
      <c r="AA250" s="317"/>
      <c r="AB250" s="317"/>
    </row>
    <row r="251" spans="3:28" hidden="1" outlineLevel="1">
      <c r="C251" s="201" t="str">
        <v>SpareOfferC30</v>
      </c>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7"/>
      <c r="AA251" s="317"/>
      <c r="AB251" s="317"/>
    </row>
    <row r="252" spans="3:28" hidden="1" outlineLevel="1">
      <c r="C252" s="201" t="str">
        <v>SpareOfferC31</v>
      </c>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7"/>
      <c r="AA252" s="317"/>
      <c r="AB252" s="317"/>
    </row>
    <row r="253" spans="3:28" hidden="1" outlineLevel="1">
      <c r="C253" s="201" t="str">
        <v>SpareOfferC32</v>
      </c>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7"/>
      <c r="AA253" s="317"/>
      <c r="AB253" s="317"/>
    </row>
    <row r="254" spans="3:28" hidden="1" outlineLevel="1">
      <c r="C254" s="201" t="str">
        <v>SpareOfferC33</v>
      </c>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7"/>
      <c r="AA254" s="317"/>
      <c r="AB254" s="317"/>
    </row>
    <row r="255" spans="3:28" hidden="1" outlineLevel="1">
      <c r="C255" s="201" t="str">
        <v>SpareOfferC34</v>
      </c>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7"/>
      <c r="AA255" s="317"/>
      <c r="AB255" s="317"/>
    </row>
    <row r="256" spans="3:28" hidden="1" outlineLevel="1">
      <c r="C256" s="201" t="str">
        <v>SpareOfferC35</v>
      </c>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7"/>
      <c r="AA256" s="317"/>
      <c r="AB256" s="317"/>
    </row>
    <row r="257" spans="3:28" hidden="1" outlineLevel="1">
      <c r="C257" s="203" t="str">
        <f t="array" ref="C257:C291">offers.segment.4</f>
        <v>SpareOfferD1</v>
      </c>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7"/>
      <c r="AA257" s="317"/>
      <c r="AB257" s="317"/>
    </row>
    <row r="258" spans="3:28" hidden="1" outlineLevel="1">
      <c r="C258" s="203" t="str">
        <v>SpareOfferD2</v>
      </c>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7"/>
      <c r="AA258" s="317"/>
      <c r="AB258" s="317"/>
    </row>
    <row r="259" spans="3:28" hidden="1" outlineLevel="1">
      <c r="C259" s="203" t="str">
        <v>SpareOfferD3</v>
      </c>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7"/>
      <c r="AA259" s="317"/>
      <c r="AB259" s="317"/>
    </row>
    <row r="260" spans="3:28" hidden="1" outlineLevel="1">
      <c r="C260" s="203" t="str">
        <v>SpareOfferD4</v>
      </c>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7"/>
      <c r="AA260" s="317"/>
      <c r="AB260" s="317"/>
    </row>
    <row r="261" spans="3:28" hidden="1" outlineLevel="1">
      <c r="C261" s="203" t="str">
        <v>SpareOfferD5</v>
      </c>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7"/>
      <c r="AA261" s="317"/>
      <c r="AB261" s="317"/>
    </row>
    <row r="262" spans="3:28" hidden="1" outlineLevel="1">
      <c r="C262" s="203" t="str">
        <v>SpareOfferD6</v>
      </c>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7"/>
      <c r="AA262" s="317"/>
      <c r="AB262" s="317"/>
    </row>
    <row r="263" spans="3:28" hidden="1" outlineLevel="1">
      <c r="C263" s="203" t="str">
        <v>SpareOfferD7</v>
      </c>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7"/>
      <c r="AA263" s="317"/>
      <c r="AB263" s="317"/>
    </row>
    <row r="264" spans="3:28" hidden="1" outlineLevel="1">
      <c r="C264" s="203" t="str">
        <v>SpareOfferD8</v>
      </c>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7"/>
      <c r="AA264" s="317"/>
      <c r="AB264" s="317"/>
    </row>
    <row r="265" spans="3:28" hidden="1" outlineLevel="1">
      <c r="C265" s="203" t="str">
        <v>SpareOfferD9</v>
      </c>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7"/>
      <c r="AA265" s="317"/>
      <c r="AB265" s="317"/>
    </row>
    <row r="266" spans="3:28" hidden="1" outlineLevel="1">
      <c r="C266" s="203" t="str">
        <v>SpareOfferD10</v>
      </c>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7"/>
      <c r="AA266" s="317"/>
      <c r="AB266" s="317"/>
    </row>
    <row r="267" spans="3:28" hidden="1" outlineLevel="1">
      <c r="C267" s="203" t="str">
        <v>SpareOfferD11</v>
      </c>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7"/>
      <c r="AA267" s="317"/>
      <c r="AB267" s="317"/>
    </row>
    <row r="268" spans="3:28" hidden="1" outlineLevel="1">
      <c r="C268" s="203" t="str">
        <v>SpareOfferD12</v>
      </c>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7"/>
      <c r="AA268" s="317"/>
      <c r="AB268" s="317"/>
    </row>
    <row r="269" spans="3:28" hidden="1" outlineLevel="1">
      <c r="C269" s="203" t="str">
        <v>SpareOfferD13</v>
      </c>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7"/>
      <c r="AA269" s="317"/>
      <c r="AB269" s="317"/>
    </row>
    <row r="270" spans="3:28" hidden="1" outlineLevel="1">
      <c r="C270" s="203" t="str">
        <v>SpareOfferD14</v>
      </c>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7"/>
      <c r="AA270" s="317"/>
      <c r="AB270" s="317"/>
    </row>
    <row r="271" spans="3:28" hidden="1" outlineLevel="1">
      <c r="C271" s="203" t="str">
        <v>SpareOfferD15</v>
      </c>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7"/>
      <c r="AA271" s="317"/>
      <c r="AB271" s="317"/>
    </row>
    <row r="272" spans="3:28" hidden="1" outlineLevel="1">
      <c r="C272" s="203" t="str">
        <v>SpareOfferD16</v>
      </c>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7"/>
      <c r="AA272" s="317"/>
      <c r="AB272" s="317"/>
    </row>
    <row r="273" spans="3:28" hidden="1" outlineLevel="1">
      <c r="C273" s="203" t="str">
        <v>SpareOfferD17</v>
      </c>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7"/>
      <c r="AA273" s="317"/>
      <c r="AB273" s="317"/>
    </row>
    <row r="274" spans="3:28" hidden="1" outlineLevel="1">
      <c r="C274" s="203" t="str">
        <v>SpareOfferD18</v>
      </c>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7"/>
      <c r="AA274" s="317"/>
      <c r="AB274" s="317"/>
    </row>
    <row r="275" spans="3:28" hidden="1" outlineLevel="1">
      <c r="C275" s="203" t="str">
        <v>SpareOfferD19</v>
      </c>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7"/>
      <c r="AA275" s="317"/>
      <c r="AB275" s="317"/>
    </row>
    <row r="276" spans="3:28" hidden="1" outlineLevel="1">
      <c r="C276" s="203" t="str">
        <v>SpareOfferD20</v>
      </c>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7"/>
      <c r="AA276" s="317"/>
      <c r="AB276" s="317"/>
    </row>
    <row r="277" spans="3:28" hidden="1" outlineLevel="1">
      <c r="C277" s="203" t="str">
        <v>SpareOfferD21</v>
      </c>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7"/>
      <c r="AA277" s="317"/>
      <c r="AB277" s="317"/>
    </row>
    <row r="278" spans="3:28" hidden="1" outlineLevel="1">
      <c r="C278" s="203" t="str">
        <v>SpareOfferD22</v>
      </c>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7"/>
      <c r="AA278" s="317"/>
      <c r="AB278" s="317"/>
    </row>
    <row r="279" spans="3:28" hidden="1" outlineLevel="1">
      <c r="C279" s="203" t="str">
        <v>SpareOfferD23</v>
      </c>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7"/>
      <c r="AA279" s="317"/>
      <c r="AB279" s="317"/>
    </row>
    <row r="280" spans="3:28" hidden="1" outlineLevel="1">
      <c r="C280" s="203" t="str">
        <v>SpareOfferD24</v>
      </c>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7"/>
      <c r="AA280" s="317"/>
      <c r="AB280" s="317"/>
    </row>
    <row r="281" spans="3:28" hidden="1" outlineLevel="1">
      <c r="C281" s="203" t="str">
        <v>SpareOfferD25</v>
      </c>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7"/>
      <c r="AA281" s="317"/>
      <c r="AB281" s="317"/>
    </row>
    <row r="282" spans="3:28" hidden="1" outlineLevel="1">
      <c r="C282" s="203" t="str">
        <v>SpareOfferD26</v>
      </c>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7"/>
      <c r="AA282" s="317"/>
      <c r="AB282" s="317"/>
    </row>
    <row r="283" spans="3:28" hidden="1" outlineLevel="1">
      <c r="C283" s="203" t="str">
        <v>SpareOfferD27</v>
      </c>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7"/>
      <c r="AA283" s="317"/>
      <c r="AB283" s="317"/>
    </row>
    <row r="284" spans="3:28" hidden="1" outlineLevel="1">
      <c r="C284" s="203" t="str">
        <v>SpareOfferD28</v>
      </c>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7"/>
      <c r="AA284" s="317"/>
      <c r="AB284" s="317"/>
    </row>
    <row r="285" spans="3:28" hidden="1" outlineLevel="1">
      <c r="C285" s="203" t="str">
        <v>SpareOfferD29</v>
      </c>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7"/>
      <c r="AA285" s="317"/>
      <c r="AB285" s="317"/>
    </row>
    <row r="286" spans="3:28" hidden="1" outlineLevel="1">
      <c r="C286" s="203" t="str">
        <v>SpareOfferD30</v>
      </c>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7"/>
      <c r="AA286" s="317"/>
      <c r="AB286" s="317"/>
    </row>
    <row r="287" spans="3:28" hidden="1" outlineLevel="1">
      <c r="C287" s="203" t="str">
        <v>SpareOfferD31</v>
      </c>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7"/>
      <c r="AA287" s="317"/>
      <c r="AB287" s="317"/>
    </row>
    <row r="288" spans="3:28" hidden="1" outlineLevel="1">
      <c r="C288" s="203" t="str">
        <v>SpareOfferD32</v>
      </c>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7"/>
      <c r="AA288" s="317"/>
      <c r="AB288" s="317"/>
    </row>
    <row r="289" spans="2:29" hidden="1" outlineLevel="1">
      <c r="C289" s="203" t="str">
        <v>SpareOfferD33</v>
      </c>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7"/>
      <c r="AA289" s="317"/>
      <c r="AB289" s="317"/>
    </row>
    <row r="290" spans="2:29" hidden="1" outlineLevel="1">
      <c r="C290" s="203" t="str">
        <v>SpareOfferD34</v>
      </c>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7"/>
      <c r="AA290" s="317"/>
      <c r="AB290" s="317"/>
    </row>
    <row r="291" spans="2:29" collapsed="1">
      <c r="C291" s="203" t="str">
        <v>-</v>
      </c>
      <c r="D291" s="316"/>
      <c r="E291" s="316"/>
      <c r="F291" s="316"/>
      <c r="G291" s="316"/>
      <c r="H291" s="316"/>
      <c r="I291" s="316"/>
      <c r="J291" s="316"/>
      <c r="K291" s="316"/>
      <c r="L291" s="316"/>
      <c r="M291" s="316"/>
      <c r="N291" s="316"/>
      <c r="O291" s="316"/>
      <c r="P291" s="316"/>
      <c r="Q291" s="316"/>
      <c r="R291" s="316"/>
      <c r="S291" s="316"/>
      <c r="T291" s="316"/>
      <c r="U291" s="316"/>
      <c r="V291" s="316"/>
      <c r="W291" s="316"/>
      <c r="X291" s="316"/>
      <c r="Y291" s="316"/>
      <c r="Z291" s="317"/>
      <c r="AA291" s="317"/>
      <c r="AB291" s="317"/>
    </row>
    <row r="292" spans="2:29" ht="12">
      <c r="C292" s="204"/>
      <c r="E292" s="204"/>
      <c r="F292" s="204"/>
      <c r="G292" s="204"/>
      <c r="H292" s="204"/>
      <c r="I292" s="204"/>
      <c r="J292" s="204"/>
      <c r="K292" s="204"/>
      <c r="L292" s="204"/>
      <c r="M292" s="204"/>
      <c r="N292" s="204"/>
      <c r="O292" s="204"/>
      <c r="P292" s="204"/>
      <c r="Q292" s="204"/>
      <c r="R292" s="204"/>
      <c r="S292" s="205"/>
      <c r="T292" s="205"/>
      <c r="U292" s="202"/>
      <c r="V292" s="202"/>
      <c r="W292" s="202"/>
      <c r="X292" s="202"/>
      <c r="Y292" s="202"/>
      <c r="Z292" s="202"/>
      <c r="AA292" s="202"/>
      <c r="AC292" s="43" t="s">
        <v>446</v>
      </c>
    </row>
    <row r="293" spans="2:29" ht="15.5">
      <c r="B293" s="36" t="s">
        <v>595</v>
      </c>
      <c r="C293" s="204"/>
      <c r="E293" s="204"/>
      <c r="F293" s="204"/>
      <c r="G293" s="204"/>
      <c r="H293" s="204"/>
      <c r="I293" s="204"/>
      <c r="J293" s="204"/>
      <c r="K293" s="204"/>
      <c r="L293" s="204"/>
      <c r="M293" s="204"/>
      <c r="N293" s="204"/>
      <c r="O293" s="204"/>
      <c r="P293" s="204"/>
      <c r="Q293" s="204"/>
      <c r="R293" s="204"/>
      <c r="S293" s="205"/>
      <c r="T293" s="205"/>
      <c r="U293" s="202"/>
      <c r="V293" s="202"/>
      <c r="W293" s="202"/>
      <c r="X293" s="202"/>
      <c r="Y293" s="202"/>
      <c r="Z293" s="202"/>
      <c r="AA293" s="202"/>
      <c r="AC293" s="43"/>
    </row>
    <row r="294" spans="2:29">
      <c r="B294" s="35"/>
      <c r="C294" s="35" t="s">
        <v>597</v>
      </c>
    </row>
    <row r="295" spans="2:29">
      <c r="C295" s="1" t="s">
        <v>309</v>
      </c>
      <c r="D295" s="1" t="str">
        <f t="array" ref="D295:F295">TRANSPOSE(voice.destination.domestic)</f>
        <v>On-net</v>
      </c>
      <c r="E295" s="1" t="str">
        <v>Off-net fixed</v>
      </c>
      <c r="F295" s="1" t="str">
        <v>Off-net mobile</v>
      </c>
    </row>
    <row r="296" spans="2:29">
      <c r="C296" s="201" t="str">
        <f t="array" ref="C296:C330">offers.segment.1</f>
        <v>SpareOfferA1</v>
      </c>
      <c r="D296" s="318"/>
      <c r="E296" s="318"/>
      <c r="F296" s="318"/>
    </row>
    <row r="297" spans="2:29" hidden="1" outlineLevel="1">
      <c r="C297" s="201" t="str">
        <v>SpareOfferA2</v>
      </c>
      <c r="D297" s="318"/>
      <c r="E297" s="318"/>
      <c r="F297" s="318"/>
    </row>
    <row r="298" spans="2:29" hidden="1" outlineLevel="1">
      <c r="C298" s="201" t="str">
        <v>SpareOfferA3</v>
      </c>
      <c r="D298" s="318"/>
      <c r="E298" s="318"/>
      <c r="F298" s="318"/>
    </row>
    <row r="299" spans="2:29" hidden="1" outlineLevel="1">
      <c r="C299" s="201" t="str">
        <v>SpareOfferA4</v>
      </c>
      <c r="D299" s="318"/>
      <c r="E299" s="318"/>
      <c r="F299" s="318"/>
    </row>
    <row r="300" spans="2:29" hidden="1" outlineLevel="1">
      <c r="C300" s="201" t="str">
        <v>SpareOfferA5</v>
      </c>
      <c r="D300" s="318"/>
      <c r="E300" s="318"/>
      <c r="F300" s="318"/>
    </row>
    <row r="301" spans="2:29" hidden="1" outlineLevel="1">
      <c r="C301" s="201" t="str">
        <v>SpareOfferA6</v>
      </c>
      <c r="D301" s="318"/>
      <c r="E301" s="318"/>
      <c r="F301" s="318"/>
    </row>
    <row r="302" spans="2:29" hidden="1" outlineLevel="1">
      <c r="C302" s="201" t="str">
        <v>SpareOfferA7</v>
      </c>
      <c r="D302" s="318"/>
      <c r="E302" s="318"/>
      <c r="F302" s="318"/>
    </row>
    <row r="303" spans="2:29" hidden="1" outlineLevel="1">
      <c r="C303" s="201" t="str">
        <v>SpareOfferA8</v>
      </c>
      <c r="D303" s="318"/>
      <c r="E303" s="318"/>
      <c r="F303" s="318"/>
    </row>
    <row r="304" spans="2:29" hidden="1" outlineLevel="1">
      <c r="C304" s="201" t="str">
        <v>SpareOfferA9</v>
      </c>
      <c r="D304" s="318"/>
      <c r="E304" s="318"/>
      <c r="F304" s="318"/>
    </row>
    <row r="305" spans="3:6" hidden="1" outlineLevel="1">
      <c r="C305" s="201" t="str">
        <v>SpareOfferA10</v>
      </c>
      <c r="D305" s="318"/>
      <c r="E305" s="318"/>
      <c r="F305" s="318"/>
    </row>
    <row r="306" spans="3:6" hidden="1" outlineLevel="1">
      <c r="C306" s="201" t="str">
        <v>SpareOfferA11</v>
      </c>
      <c r="D306" s="318"/>
      <c r="E306" s="318"/>
      <c r="F306" s="318"/>
    </row>
    <row r="307" spans="3:6" hidden="1" outlineLevel="1">
      <c r="C307" s="201" t="str">
        <v>SpareOfferA12</v>
      </c>
      <c r="D307" s="318"/>
      <c r="E307" s="318"/>
      <c r="F307" s="318"/>
    </row>
    <row r="308" spans="3:6" hidden="1" outlineLevel="1">
      <c r="C308" s="201" t="str">
        <v>SpareOfferA13</v>
      </c>
      <c r="D308" s="318"/>
      <c r="E308" s="318"/>
      <c r="F308" s="318"/>
    </row>
    <row r="309" spans="3:6" hidden="1" outlineLevel="1">
      <c r="C309" s="201" t="str">
        <v>SpareOfferA14</v>
      </c>
      <c r="D309" s="318"/>
      <c r="E309" s="318"/>
      <c r="F309" s="318"/>
    </row>
    <row r="310" spans="3:6" hidden="1" outlineLevel="1">
      <c r="C310" s="201" t="str">
        <v>SpareOfferA15</v>
      </c>
      <c r="D310" s="318"/>
      <c r="E310" s="318"/>
      <c r="F310" s="318"/>
    </row>
    <row r="311" spans="3:6" hidden="1" outlineLevel="1">
      <c r="C311" s="201" t="str">
        <v>SpareOfferA16</v>
      </c>
      <c r="D311" s="318"/>
      <c r="E311" s="318"/>
      <c r="F311" s="318"/>
    </row>
    <row r="312" spans="3:6" hidden="1" outlineLevel="1">
      <c r="C312" s="201" t="str">
        <v>SpareOfferA17</v>
      </c>
      <c r="D312" s="318"/>
      <c r="E312" s="318"/>
      <c r="F312" s="318"/>
    </row>
    <row r="313" spans="3:6" hidden="1" outlineLevel="1">
      <c r="C313" s="201" t="str">
        <v>SpareOfferA18</v>
      </c>
      <c r="D313" s="318"/>
      <c r="E313" s="318"/>
      <c r="F313" s="318"/>
    </row>
    <row r="314" spans="3:6" hidden="1" outlineLevel="1">
      <c r="C314" s="201" t="str">
        <v>SpareOfferA19</v>
      </c>
      <c r="D314" s="318"/>
      <c r="E314" s="318"/>
      <c r="F314" s="318"/>
    </row>
    <row r="315" spans="3:6" hidden="1" outlineLevel="1">
      <c r="C315" s="201" t="str">
        <v>SpareOfferA20</v>
      </c>
      <c r="D315" s="318"/>
      <c r="E315" s="318"/>
      <c r="F315" s="318"/>
    </row>
    <row r="316" spans="3:6" hidden="1" outlineLevel="1">
      <c r="C316" s="201" t="str">
        <v>SpareOfferA21</v>
      </c>
      <c r="D316" s="318"/>
      <c r="E316" s="318"/>
      <c r="F316" s="318"/>
    </row>
    <row r="317" spans="3:6" hidden="1" outlineLevel="1">
      <c r="C317" s="201" t="str">
        <v>SpareOfferA22</v>
      </c>
      <c r="D317" s="318"/>
      <c r="E317" s="318"/>
      <c r="F317" s="318"/>
    </row>
    <row r="318" spans="3:6" hidden="1" outlineLevel="1">
      <c r="C318" s="201" t="str">
        <v>SpareOfferA23</v>
      </c>
      <c r="D318" s="318"/>
      <c r="E318" s="318"/>
      <c r="F318" s="318"/>
    </row>
    <row r="319" spans="3:6" hidden="1" outlineLevel="1">
      <c r="C319" s="201" t="str">
        <v>SpareOfferA24</v>
      </c>
      <c r="D319" s="318"/>
      <c r="E319" s="318"/>
      <c r="F319" s="318"/>
    </row>
    <row r="320" spans="3:6" hidden="1" outlineLevel="1">
      <c r="C320" s="201" t="str">
        <v>SpareOfferA25</v>
      </c>
      <c r="D320" s="318"/>
      <c r="E320" s="318"/>
      <c r="F320" s="318"/>
    </row>
    <row r="321" spans="3:6" hidden="1" outlineLevel="1">
      <c r="C321" s="201" t="str">
        <v>SpareOfferA26</v>
      </c>
      <c r="D321" s="318"/>
      <c r="E321" s="318"/>
      <c r="F321" s="318"/>
    </row>
    <row r="322" spans="3:6" hidden="1" outlineLevel="1">
      <c r="C322" s="201" t="str">
        <v>SpareOfferA27</v>
      </c>
      <c r="D322" s="318"/>
      <c r="E322" s="318"/>
      <c r="F322" s="318"/>
    </row>
    <row r="323" spans="3:6" hidden="1" outlineLevel="1">
      <c r="C323" s="201" t="str">
        <v>SpareOfferA28</v>
      </c>
      <c r="D323" s="318"/>
      <c r="E323" s="318"/>
      <c r="F323" s="318"/>
    </row>
    <row r="324" spans="3:6" hidden="1" outlineLevel="1">
      <c r="C324" s="201" t="str">
        <v>SpareOfferA29</v>
      </c>
      <c r="D324" s="318"/>
      <c r="E324" s="318"/>
      <c r="F324" s="318"/>
    </row>
    <row r="325" spans="3:6" hidden="1" outlineLevel="1">
      <c r="C325" s="201" t="str">
        <v>SpareOfferA30</v>
      </c>
      <c r="D325" s="318"/>
      <c r="E325" s="318"/>
      <c r="F325" s="318"/>
    </row>
    <row r="326" spans="3:6" hidden="1" outlineLevel="1">
      <c r="C326" s="201" t="str">
        <v>SpareOfferA31</v>
      </c>
      <c r="D326" s="318"/>
      <c r="E326" s="318"/>
      <c r="F326" s="318"/>
    </row>
    <row r="327" spans="3:6" hidden="1" outlineLevel="1">
      <c r="C327" s="201" t="str">
        <v>SpareOfferA32</v>
      </c>
      <c r="D327" s="318"/>
      <c r="E327" s="318"/>
      <c r="F327" s="318"/>
    </row>
    <row r="328" spans="3:6" hidden="1" outlineLevel="1">
      <c r="C328" s="201" t="str">
        <v>SpareOfferA33</v>
      </c>
      <c r="D328" s="318"/>
      <c r="E328" s="318"/>
      <c r="F328" s="318"/>
    </row>
    <row r="329" spans="3:6" hidden="1" outlineLevel="1">
      <c r="C329" s="201" t="str">
        <v>SpareOfferA34</v>
      </c>
      <c r="D329" s="318"/>
      <c r="E329" s="318"/>
      <c r="F329" s="318"/>
    </row>
    <row r="330" spans="3:6" hidden="1" outlineLevel="1">
      <c r="C330" s="201" t="str">
        <v>SpareOfferA35</v>
      </c>
      <c r="D330" s="318"/>
      <c r="E330" s="318"/>
      <c r="F330" s="318"/>
    </row>
    <row r="331" spans="3:6" hidden="1" outlineLevel="1">
      <c r="C331" s="203" t="str">
        <f t="array" ref="C331:C365">offers.segment.2</f>
        <v>SpareOfferB1</v>
      </c>
      <c r="D331" s="318"/>
      <c r="E331" s="318"/>
      <c r="F331" s="318"/>
    </row>
    <row r="332" spans="3:6" hidden="1" outlineLevel="1">
      <c r="C332" s="203" t="str">
        <v>SpareOfferB2</v>
      </c>
      <c r="D332" s="318"/>
      <c r="E332" s="318"/>
      <c r="F332" s="318"/>
    </row>
    <row r="333" spans="3:6" hidden="1" outlineLevel="1">
      <c r="C333" s="203" t="str">
        <v>SpareOfferB3</v>
      </c>
      <c r="D333" s="318"/>
      <c r="E333" s="318"/>
      <c r="F333" s="318"/>
    </row>
    <row r="334" spans="3:6" hidden="1" outlineLevel="1">
      <c r="C334" s="203" t="str">
        <v>SpareOfferB4</v>
      </c>
      <c r="D334" s="318"/>
      <c r="E334" s="318"/>
      <c r="F334" s="318"/>
    </row>
    <row r="335" spans="3:6" hidden="1" outlineLevel="1">
      <c r="C335" s="203" t="str">
        <v>SpareOfferB5</v>
      </c>
      <c r="D335" s="318"/>
      <c r="E335" s="318"/>
      <c r="F335" s="318"/>
    </row>
    <row r="336" spans="3:6" hidden="1" outlineLevel="1">
      <c r="C336" s="203" t="str">
        <v>SpareOfferB6</v>
      </c>
      <c r="D336" s="318"/>
      <c r="E336" s="318"/>
      <c r="F336" s="318"/>
    </row>
    <row r="337" spans="3:6" hidden="1" outlineLevel="1">
      <c r="C337" s="203" t="str">
        <v>SpareOfferB7</v>
      </c>
      <c r="D337" s="318"/>
      <c r="E337" s="318"/>
      <c r="F337" s="318"/>
    </row>
    <row r="338" spans="3:6" hidden="1" outlineLevel="1">
      <c r="C338" s="203" t="str">
        <v>SpareOfferB8</v>
      </c>
      <c r="D338" s="318"/>
      <c r="E338" s="318"/>
      <c r="F338" s="318"/>
    </row>
    <row r="339" spans="3:6" hidden="1" outlineLevel="1">
      <c r="C339" s="203" t="str">
        <v>SpareOfferB9</v>
      </c>
      <c r="D339" s="318"/>
      <c r="E339" s="318"/>
      <c r="F339" s="318"/>
    </row>
    <row r="340" spans="3:6" hidden="1" outlineLevel="1">
      <c r="C340" s="203" t="str">
        <v>SpareOfferB10</v>
      </c>
      <c r="D340" s="318"/>
      <c r="E340" s="318"/>
      <c r="F340" s="318"/>
    </row>
    <row r="341" spans="3:6" hidden="1" outlineLevel="1">
      <c r="C341" s="203" t="str">
        <v>SpareOfferB11</v>
      </c>
      <c r="D341" s="318"/>
      <c r="E341" s="318"/>
      <c r="F341" s="318"/>
    </row>
    <row r="342" spans="3:6" hidden="1" outlineLevel="1">
      <c r="C342" s="203" t="str">
        <v>SpareOfferB12</v>
      </c>
      <c r="D342" s="318"/>
      <c r="E342" s="318"/>
      <c r="F342" s="318"/>
    </row>
    <row r="343" spans="3:6" hidden="1" outlineLevel="1">
      <c r="C343" s="203" t="str">
        <v>SpareOfferB13</v>
      </c>
      <c r="D343" s="318"/>
      <c r="E343" s="318"/>
      <c r="F343" s="318"/>
    </row>
    <row r="344" spans="3:6" hidden="1" outlineLevel="1">
      <c r="C344" s="203" t="str">
        <v>SpareOfferB14</v>
      </c>
      <c r="D344" s="318"/>
      <c r="E344" s="318"/>
      <c r="F344" s="318"/>
    </row>
    <row r="345" spans="3:6" hidden="1" outlineLevel="1">
      <c r="C345" s="203" t="str">
        <v>SpareOfferB15</v>
      </c>
      <c r="D345" s="318"/>
      <c r="E345" s="318"/>
      <c r="F345" s="318"/>
    </row>
    <row r="346" spans="3:6" hidden="1" outlineLevel="1">
      <c r="C346" s="203" t="str">
        <v>SpareOfferB16</v>
      </c>
      <c r="D346" s="318"/>
      <c r="E346" s="318"/>
      <c r="F346" s="318"/>
    </row>
    <row r="347" spans="3:6" hidden="1" outlineLevel="1">
      <c r="C347" s="203" t="str">
        <v>SpareOfferB17</v>
      </c>
      <c r="D347" s="318"/>
      <c r="E347" s="318"/>
      <c r="F347" s="318"/>
    </row>
    <row r="348" spans="3:6" hidden="1" outlineLevel="1">
      <c r="C348" s="203" t="str">
        <v>SpareOfferB18</v>
      </c>
      <c r="D348" s="318"/>
      <c r="E348" s="318"/>
      <c r="F348" s="318"/>
    </row>
    <row r="349" spans="3:6" hidden="1" outlineLevel="1">
      <c r="C349" s="203" t="str">
        <v>SpareOfferB19</v>
      </c>
      <c r="D349" s="318"/>
      <c r="E349" s="318"/>
      <c r="F349" s="318"/>
    </row>
    <row r="350" spans="3:6" hidden="1" outlineLevel="1">
      <c r="C350" s="203" t="str">
        <v>SpareOfferB20</v>
      </c>
      <c r="D350" s="318"/>
      <c r="E350" s="318"/>
      <c r="F350" s="318"/>
    </row>
    <row r="351" spans="3:6" hidden="1" outlineLevel="1">
      <c r="C351" s="203" t="str">
        <v>SpareOfferB21</v>
      </c>
      <c r="D351" s="318"/>
      <c r="E351" s="318"/>
      <c r="F351" s="318"/>
    </row>
    <row r="352" spans="3:6" hidden="1" outlineLevel="1">
      <c r="C352" s="203" t="str">
        <v>SpareOfferB22</v>
      </c>
      <c r="D352" s="318"/>
      <c r="E352" s="318"/>
      <c r="F352" s="318"/>
    </row>
    <row r="353" spans="3:6" hidden="1" outlineLevel="1">
      <c r="C353" s="203" t="str">
        <v>SpareOfferB23</v>
      </c>
      <c r="D353" s="318"/>
      <c r="E353" s="318"/>
      <c r="F353" s="318"/>
    </row>
    <row r="354" spans="3:6" hidden="1" outlineLevel="1">
      <c r="C354" s="203" t="str">
        <v>SpareOfferB24</v>
      </c>
      <c r="D354" s="318"/>
      <c r="E354" s="318"/>
      <c r="F354" s="318"/>
    </row>
    <row r="355" spans="3:6" hidden="1" outlineLevel="1">
      <c r="C355" s="203" t="str">
        <v>SpareOfferB25</v>
      </c>
      <c r="D355" s="318"/>
      <c r="E355" s="318"/>
      <c r="F355" s="318"/>
    </row>
    <row r="356" spans="3:6" hidden="1" outlineLevel="1">
      <c r="C356" s="203" t="str">
        <v>SpareOfferB26</v>
      </c>
      <c r="D356" s="318"/>
      <c r="E356" s="318"/>
      <c r="F356" s="318"/>
    </row>
    <row r="357" spans="3:6" hidden="1" outlineLevel="1">
      <c r="C357" s="203" t="str">
        <v>SpareOfferB27</v>
      </c>
      <c r="D357" s="318"/>
      <c r="E357" s="318"/>
      <c r="F357" s="318"/>
    </row>
    <row r="358" spans="3:6" hidden="1" outlineLevel="1">
      <c r="C358" s="203" t="str">
        <v>SpareOfferB28</v>
      </c>
      <c r="D358" s="318"/>
      <c r="E358" s="318"/>
      <c r="F358" s="318"/>
    </row>
    <row r="359" spans="3:6" hidden="1" outlineLevel="1">
      <c r="C359" s="203" t="str">
        <v>SpareOfferB29</v>
      </c>
      <c r="D359" s="318"/>
      <c r="E359" s="318"/>
      <c r="F359" s="318"/>
    </row>
    <row r="360" spans="3:6" hidden="1" outlineLevel="1">
      <c r="C360" s="203" t="str">
        <v>SpareOfferB30</v>
      </c>
      <c r="D360" s="318"/>
      <c r="E360" s="318"/>
      <c r="F360" s="318"/>
    </row>
    <row r="361" spans="3:6" hidden="1" outlineLevel="1">
      <c r="C361" s="203" t="str">
        <v>SpareOfferB31</v>
      </c>
      <c r="D361" s="318"/>
      <c r="E361" s="318"/>
      <c r="F361" s="318"/>
    </row>
    <row r="362" spans="3:6" hidden="1" outlineLevel="1">
      <c r="C362" s="203" t="str">
        <v>SpareOfferB32</v>
      </c>
      <c r="D362" s="318"/>
      <c r="E362" s="318"/>
      <c r="F362" s="318"/>
    </row>
    <row r="363" spans="3:6" hidden="1" outlineLevel="1">
      <c r="C363" s="203" t="str">
        <v>SpareOfferB33</v>
      </c>
      <c r="D363" s="318"/>
      <c r="E363" s="318"/>
      <c r="F363" s="318"/>
    </row>
    <row r="364" spans="3:6" hidden="1" outlineLevel="1">
      <c r="C364" s="203" t="str">
        <v>SpareOfferB34</v>
      </c>
      <c r="D364" s="318"/>
      <c r="E364" s="318"/>
      <c r="F364" s="318"/>
    </row>
    <row r="365" spans="3:6" hidden="1" outlineLevel="1">
      <c r="C365" s="203" t="str">
        <v>SpareOfferB35</v>
      </c>
      <c r="D365" s="318"/>
      <c r="E365" s="318"/>
      <c r="F365" s="318"/>
    </row>
    <row r="366" spans="3:6" hidden="1" outlineLevel="1">
      <c r="C366" s="201" t="str">
        <f t="array" ref="C366:C400">offers.segment.3</f>
        <v>SpareOfferC1</v>
      </c>
      <c r="D366" s="318"/>
      <c r="E366" s="318"/>
      <c r="F366" s="318"/>
    </row>
    <row r="367" spans="3:6" hidden="1" outlineLevel="1">
      <c r="C367" s="201" t="str">
        <v>SpareOfferC2</v>
      </c>
      <c r="D367" s="318"/>
      <c r="E367" s="318"/>
      <c r="F367" s="318"/>
    </row>
    <row r="368" spans="3:6" hidden="1" outlineLevel="1">
      <c r="C368" s="201" t="str">
        <v>SpareOfferC3</v>
      </c>
      <c r="D368" s="318"/>
      <c r="E368" s="318"/>
      <c r="F368" s="318"/>
    </row>
    <row r="369" spans="3:6" hidden="1" outlineLevel="1">
      <c r="C369" s="201" t="str">
        <v>SpareOfferC4</v>
      </c>
      <c r="D369" s="318"/>
      <c r="E369" s="318"/>
      <c r="F369" s="318"/>
    </row>
    <row r="370" spans="3:6" hidden="1" outlineLevel="1">
      <c r="C370" s="201" t="str">
        <v>SpareOfferC5</v>
      </c>
      <c r="D370" s="318"/>
      <c r="E370" s="318"/>
      <c r="F370" s="318"/>
    </row>
    <row r="371" spans="3:6" hidden="1" outlineLevel="1">
      <c r="C371" s="201" t="str">
        <v>SpareOfferC6</v>
      </c>
      <c r="D371" s="318"/>
      <c r="E371" s="318"/>
      <c r="F371" s="318"/>
    </row>
    <row r="372" spans="3:6" hidden="1" outlineLevel="1">
      <c r="C372" s="201" t="str">
        <v>SpareOfferC7</v>
      </c>
      <c r="D372" s="318"/>
      <c r="E372" s="318"/>
      <c r="F372" s="318"/>
    </row>
    <row r="373" spans="3:6" hidden="1" outlineLevel="1">
      <c r="C373" s="201" t="str">
        <v>SpareOfferC8</v>
      </c>
      <c r="D373" s="318"/>
      <c r="E373" s="318"/>
      <c r="F373" s="318"/>
    </row>
    <row r="374" spans="3:6" hidden="1" outlineLevel="1">
      <c r="C374" s="201" t="str">
        <v>SpareOfferC9</v>
      </c>
      <c r="D374" s="318"/>
      <c r="E374" s="318"/>
      <c r="F374" s="318"/>
    </row>
    <row r="375" spans="3:6" hidden="1" outlineLevel="1">
      <c r="C375" s="201" t="str">
        <v>SpareOfferC10</v>
      </c>
      <c r="D375" s="318"/>
      <c r="E375" s="318"/>
      <c r="F375" s="318"/>
    </row>
    <row r="376" spans="3:6" hidden="1" outlineLevel="1">
      <c r="C376" s="201" t="str">
        <v>SpareOfferC11</v>
      </c>
      <c r="D376" s="318"/>
      <c r="E376" s="318"/>
      <c r="F376" s="318"/>
    </row>
    <row r="377" spans="3:6" hidden="1" outlineLevel="1">
      <c r="C377" s="201" t="str">
        <v>SpareOfferC12</v>
      </c>
      <c r="D377" s="318"/>
      <c r="E377" s="318"/>
      <c r="F377" s="318"/>
    </row>
    <row r="378" spans="3:6" hidden="1" outlineLevel="1">
      <c r="C378" s="201" t="str">
        <v>SpareOfferC13</v>
      </c>
      <c r="D378" s="318"/>
      <c r="E378" s="318"/>
      <c r="F378" s="318"/>
    </row>
    <row r="379" spans="3:6" hidden="1" outlineLevel="1">
      <c r="C379" s="201" t="str">
        <v>SpareOfferC14</v>
      </c>
      <c r="D379" s="318"/>
      <c r="E379" s="318"/>
      <c r="F379" s="318"/>
    </row>
    <row r="380" spans="3:6" hidden="1" outlineLevel="1">
      <c r="C380" s="201" t="str">
        <v>SpareOfferC15</v>
      </c>
      <c r="D380" s="318"/>
      <c r="E380" s="318"/>
      <c r="F380" s="318"/>
    </row>
    <row r="381" spans="3:6" hidden="1" outlineLevel="1">
      <c r="C381" s="201" t="str">
        <v>SpareOfferC16</v>
      </c>
      <c r="D381" s="318"/>
      <c r="E381" s="318"/>
      <c r="F381" s="318"/>
    </row>
    <row r="382" spans="3:6" hidden="1" outlineLevel="1">
      <c r="C382" s="201" t="str">
        <v>SpareOfferC17</v>
      </c>
      <c r="D382" s="318"/>
      <c r="E382" s="318"/>
      <c r="F382" s="318"/>
    </row>
    <row r="383" spans="3:6" hidden="1" outlineLevel="1">
      <c r="C383" s="201" t="str">
        <v>SpareOfferC18</v>
      </c>
      <c r="D383" s="318"/>
      <c r="E383" s="318"/>
      <c r="F383" s="318"/>
    </row>
    <row r="384" spans="3:6" hidden="1" outlineLevel="1">
      <c r="C384" s="201" t="str">
        <v>SpareOfferC19</v>
      </c>
      <c r="D384" s="318"/>
      <c r="E384" s="318"/>
      <c r="F384" s="318"/>
    </row>
    <row r="385" spans="3:6" hidden="1" outlineLevel="1">
      <c r="C385" s="201" t="str">
        <v>SpareOfferC20</v>
      </c>
      <c r="D385" s="318"/>
      <c r="E385" s="318"/>
      <c r="F385" s="318"/>
    </row>
    <row r="386" spans="3:6" hidden="1" outlineLevel="1">
      <c r="C386" s="201" t="str">
        <v>SpareOfferC21</v>
      </c>
      <c r="D386" s="318"/>
      <c r="E386" s="318"/>
      <c r="F386" s="318"/>
    </row>
    <row r="387" spans="3:6" hidden="1" outlineLevel="1">
      <c r="C387" s="201" t="str">
        <v>SpareOfferC22</v>
      </c>
      <c r="D387" s="318"/>
      <c r="E387" s="318"/>
      <c r="F387" s="318"/>
    </row>
    <row r="388" spans="3:6" hidden="1" outlineLevel="1">
      <c r="C388" s="201" t="str">
        <v>SpareOfferC23</v>
      </c>
      <c r="D388" s="318"/>
      <c r="E388" s="318"/>
      <c r="F388" s="318"/>
    </row>
    <row r="389" spans="3:6" hidden="1" outlineLevel="1">
      <c r="C389" s="201" t="str">
        <v>SpareOfferC24</v>
      </c>
      <c r="D389" s="318"/>
      <c r="E389" s="318"/>
      <c r="F389" s="318"/>
    </row>
    <row r="390" spans="3:6" hidden="1" outlineLevel="1">
      <c r="C390" s="201" t="str">
        <v>SpareOfferC25</v>
      </c>
      <c r="D390" s="318"/>
      <c r="E390" s="318"/>
      <c r="F390" s="318"/>
    </row>
    <row r="391" spans="3:6" hidden="1" outlineLevel="1">
      <c r="C391" s="201" t="str">
        <v>SpareOfferC26</v>
      </c>
      <c r="D391" s="318"/>
      <c r="E391" s="318"/>
      <c r="F391" s="318"/>
    </row>
    <row r="392" spans="3:6" hidden="1" outlineLevel="1">
      <c r="C392" s="201" t="str">
        <v>SpareOfferC27</v>
      </c>
      <c r="D392" s="318"/>
      <c r="E392" s="318"/>
      <c r="F392" s="318"/>
    </row>
    <row r="393" spans="3:6" hidden="1" outlineLevel="1">
      <c r="C393" s="201" t="str">
        <v>SpareOfferC28</v>
      </c>
      <c r="D393" s="318"/>
      <c r="E393" s="318"/>
      <c r="F393" s="318"/>
    </row>
    <row r="394" spans="3:6" hidden="1" outlineLevel="1">
      <c r="C394" s="201" t="str">
        <v>SpareOfferC29</v>
      </c>
      <c r="D394" s="318"/>
      <c r="E394" s="318"/>
      <c r="F394" s="318"/>
    </row>
    <row r="395" spans="3:6" hidden="1" outlineLevel="1">
      <c r="C395" s="201" t="str">
        <v>SpareOfferC30</v>
      </c>
      <c r="D395" s="318"/>
      <c r="E395" s="318"/>
      <c r="F395" s="318"/>
    </row>
    <row r="396" spans="3:6" hidden="1" outlineLevel="1">
      <c r="C396" s="201" t="str">
        <v>SpareOfferC31</v>
      </c>
      <c r="D396" s="318"/>
      <c r="E396" s="318"/>
      <c r="F396" s="318"/>
    </row>
    <row r="397" spans="3:6" hidden="1" outlineLevel="1">
      <c r="C397" s="201" t="str">
        <v>SpareOfferC32</v>
      </c>
      <c r="D397" s="318"/>
      <c r="E397" s="318"/>
      <c r="F397" s="318"/>
    </row>
    <row r="398" spans="3:6" hidden="1" outlineLevel="1">
      <c r="C398" s="201" t="str">
        <v>SpareOfferC33</v>
      </c>
      <c r="D398" s="318"/>
      <c r="E398" s="318"/>
      <c r="F398" s="318"/>
    </row>
    <row r="399" spans="3:6" hidden="1" outlineLevel="1">
      <c r="C399" s="201" t="str">
        <v>SpareOfferC34</v>
      </c>
      <c r="D399" s="318"/>
      <c r="E399" s="318"/>
      <c r="F399" s="318"/>
    </row>
    <row r="400" spans="3:6" hidden="1" outlineLevel="1">
      <c r="C400" s="201" t="str">
        <v>SpareOfferC35</v>
      </c>
      <c r="D400" s="318"/>
      <c r="E400" s="318"/>
      <c r="F400" s="318"/>
    </row>
    <row r="401" spans="3:6" hidden="1" outlineLevel="1">
      <c r="C401" s="203" t="str">
        <f t="array" ref="C401:C435">offers.segment.4</f>
        <v>SpareOfferD1</v>
      </c>
      <c r="D401" s="318"/>
      <c r="E401" s="318"/>
      <c r="F401" s="318"/>
    </row>
    <row r="402" spans="3:6" hidden="1" outlineLevel="1">
      <c r="C402" s="203" t="str">
        <v>SpareOfferD2</v>
      </c>
      <c r="D402" s="318"/>
      <c r="E402" s="318"/>
      <c r="F402" s="318"/>
    </row>
    <row r="403" spans="3:6" hidden="1" outlineLevel="1">
      <c r="C403" s="203" t="str">
        <v>SpareOfferD3</v>
      </c>
      <c r="D403" s="318"/>
      <c r="E403" s="318"/>
      <c r="F403" s="318"/>
    </row>
    <row r="404" spans="3:6" hidden="1" outlineLevel="1">
      <c r="C404" s="203" t="str">
        <v>SpareOfferD4</v>
      </c>
      <c r="D404" s="318"/>
      <c r="E404" s="318"/>
      <c r="F404" s="318"/>
    </row>
    <row r="405" spans="3:6" hidden="1" outlineLevel="1">
      <c r="C405" s="203" t="str">
        <v>SpareOfferD5</v>
      </c>
      <c r="D405" s="318"/>
      <c r="E405" s="318"/>
      <c r="F405" s="318"/>
    </row>
    <row r="406" spans="3:6" hidden="1" outlineLevel="1">
      <c r="C406" s="203" t="str">
        <v>SpareOfferD6</v>
      </c>
      <c r="D406" s="318"/>
      <c r="E406" s="318"/>
      <c r="F406" s="318"/>
    </row>
    <row r="407" spans="3:6" hidden="1" outlineLevel="1">
      <c r="C407" s="203" t="str">
        <v>SpareOfferD7</v>
      </c>
      <c r="D407" s="318"/>
      <c r="E407" s="318"/>
      <c r="F407" s="318"/>
    </row>
    <row r="408" spans="3:6" hidden="1" outlineLevel="1">
      <c r="C408" s="203" t="str">
        <v>SpareOfferD8</v>
      </c>
      <c r="D408" s="318"/>
      <c r="E408" s="318"/>
      <c r="F408" s="318"/>
    </row>
    <row r="409" spans="3:6" hidden="1" outlineLevel="1">
      <c r="C409" s="203" t="str">
        <v>SpareOfferD9</v>
      </c>
      <c r="D409" s="318"/>
      <c r="E409" s="318"/>
      <c r="F409" s="318"/>
    </row>
    <row r="410" spans="3:6" hidden="1" outlineLevel="1">
      <c r="C410" s="203" t="str">
        <v>SpareOfferD10</v>
      </c>
      <c r="D410" s="318"/>
      <c r="E410" s="318"/>
      <c r="F410" s="318"/>
    </row>
    <row r="411" spans="3:6" hidden="1" outlineLevel="1">
      <c r="C411" s="203" t="str">
        <v>SpareOfferD11</v>
      </c>
      <c r="D411" s="318"/>
      <c r="E411" s="318"/>
      <c r="F411" s="318"/>
    </row>
    <row r="412" spans="3:6" hidden="1" outlineLevel="1">
      <c r="C412" s="203" t="str">
        <v>SpareOfferD12</v>
      </c>
      <c r="D412" s="318"/>
      <c r="E412" s="318"/>
      <c r="F412" s="318"/>
    </row>
    <row r="413" spans="3:6" hidden="1" outlineLevel="1">
      <c r="C413" s="203" t="str">
        <v>SpareOfferD13</v>
      </c>
      <c r="D413" s="318"/>
      <c r="E413" s="318"/>
      <c r="F413" s="318"/>
    </row>
    <row r="414" spans="3:6" hidden="1" outlineLevel="1">
      <c r="C414" s="203" t="str">
        <v>SpareOfferD14</v>
      </c>
      <c r="D414" s="318"/>
      <c r="E414" s="318"/>
      <c r="F414" s="318"/>
    </row>
    <row r="415" spans="3:6" hidden="1" outlineLevel="1">
      <c r="C415" s="203" t="str">
        <v>SpareOfferD15</v>
      </c>
      <c r="D415" s="318"/>
      <c r="E415" s="318"/>
      <c r="F415" s="318"/>
    </row>
    <row r="416" spans="3:6" hidden="1" outlineLevel="1">
      <c r="C416" s="203" t="str">
        <v>SpareOfferD16</v>
      </c>
      <c r="D416" s="318"/>
      <c r="E416" s="318"/>
      <c r="F416" s="318"/>
    </row>
    <row r="417" spans="3:6" hidden="1" outlineLevel="1">
      <c r="C417" s="203" t="str">
        <v>SpareOfferD17</v>
      </c>
      <c r="D417" s="318"/>
      <c r="E417" s="318"/>
      <c r="F417" s="318"/>
    </row>
    <row r="418" spans="3:6" hidden="1" outlineLevel="1">
      <c r="C418" s="203" t="str">
        <v>SpareOfferD18</v>
      </c>
      <c r="D418" s="318"/>
      <c r="E418" s="318"/>
      <c r="F418" s="318"/>
    </row>
    <row r="419" spans="3:6" hidden="1" outlineLevel="1">
      <c r="C419" s="203" t="str">
        <v>SpareOfferD19</v>
      </c>
      <c r="D419" s="318"/>
      <c r="E419" s="318"/>
      <c r="F419" s="318"/>
    </row>
    <row r="420" spans="3:6" hidden="1" outlineLevel="1">
      <c r="C420" s="203" t="str">
        <v>SpareOfferD20</v>
      </c>
      <c r="D420" s="318"/>
      <c r="E420" s="318"/>
      <c r="F420" s="318"/>
    </row>
    <row r="421" spans="3:6" hidden="1" outlineLevel="1">
      <c r="C421" s="203" t="str">
        <v>SpareOfferD21</v>
      </c>
      <c r="D421" s="318"/>
      <c r="E421" s="318"/>
      <c r="F421" s="318"/>
    </row>
    <row r="422" spans="3:6" hidden="1" outlineLevel="1">
      <c r="C422" s="203" t="str">
        <v>SpareOfferD22</v>
      </c>
      <c r="D422" s="318"/>
      <c r="E422" s="318"/>
      <c r="F422" s="318"/>
    </row>
    <row r="423" spans="3:6" hidden="1" outlineLevel="1">
      <c r="C423" s="203" t="str">
        <v>SpareOfferD23</v>
      </c>
      <c r="D423" s="318"/>
      <c r="E423" s="318"/>
      <c r="F423" s="318"/>
    </row>
    <row r="424" spans="3:6" hidden="1" outlineLevel="1">
      <c r="C424" s="203" t="str">
        <v>SpareOfferD24</v>
      </c>
      <c r="D424" s="318"/>
      <c r="E424" s="318"/>
      <c r="F424" s="318"/>
    </row>
    <row r="425" spans="3:6" hidden="1" outlineLevel="1">
      <c r="C425" s="203" t="str">
        <v>SpareOfferD25</v>
      </c>
      <c r="D425" s="318"/>
      <c r="E425" s="318"/>
      <c r="F425" s="318"/>
    </row>
    <row r="426" spans="3:6" hidden="1" outlineLevel="1">
      <c r="C426" s="203" t="str">
        <v>SpareOfferD26</v>
      </c>
      <c r="D426" s="318"/>
      <c r="E426" s="318"/>
      <c r="F426" s="318"/>
    </row>
    <row r="427" spans="3:6" hidden="1" outlineLevel="1">
      <c r="C427" s="203" t="str">
        <v>SpareOfferD27</v>
      </c>
      <c r="D427" s="318"/>
      <c r="E427" s="318"/>
      <c r="F427" s="318"/>
    </row>
    <row r="428" spans="3:6" hidden="1" outlineLevel="1">
      <c r="C428" s="203" t="str">
        <v>SpareOfferD28</v>
      </c>
      <c r="D428" s="318"/>
      <c r="E428" s="318"/>
      <c r="F428" s="318"/>
    </row>
    <row r="429" spans="3:6" hidden="1" outlineLevel="1">
      <c r="C429" s="203" t="str">
        <v>SpareOfferD29</v>
      </c>
      <c r="D429" s="318"/>
      <c r="E429" s="318"/>
      <c r="F429" s="318"/>
    </row>
    <row r="430" spans="3:6" hidden="1" outlineLevel="1">
      <c r="C430" s="203" t="str">
        <v>SpareOfferD30</v>
      </c>
      <c r="D430" s="318"/>
      <c r="E430" s="318"/>
      <c r="F430" s="318"/>
    </row>
    <row r="431" spans="3:6" hidden="1" outlineLevel="1">
      <c r="C431" s="203" t="str">
        <v>SpareOfferD31</v>
      </c>
      <c r="D431" s="318"/>
      <c r="E431" s="318"/>
      <c r="F431" s="318"/>
    </row>
    <row r="432" spans="3:6" hidden="1" outlineLevel="1">
      <c r="C432" s="203" t="str">
        <v>SpareOfferD32</v>
      </c>
      <c r="D432" s="318"/>
      <c r="E432" s="318"/>
      <c r="F432" s="318"/>
    </row>
    <row r="433" spans="2:12" hidden="1" outlineLevel="1">
      <c r="C433" s="203" t="str">
        <v>SpareOfferD33</v>
      </c>
      <c r="D433" s="318"/>
      <c r="E433" s="318"/>
      <c r="F433" s="318"/>
    </row>
    <row r="434" spans="2:12" hidden="1" outlineLevel="1">
      <c r="C434" s="203" t="str">
        <v>SpareOfferD34</v>
      </c>
      <c r="D434" s="318"/>
      <c r="E434" s="318"/>
      <c r="F434" s="318"/>
    </row>
    <row r="435" spans="2:12" collapsed="1">
      <c r="C435" s="203" t="str">
        <v>-</v>
      </c>
      <c r="D435" s="318"/>
      <c r="E435" s="318"/>
      <c r="F435" s="318"/>
    </row>
    <row r="436" spans="2:12" ht="12">
      <c r="C436" s="43" t="s">
        <v>449</v>
      </c>
      <c r="G436" s="43" t="s">
        <v>448</v>
      </c>
    </row>
    <row r="438" spans="2:12">
      <c r="B438" s="35"/>
      <c r="C438" s="35" t="s">
        <v>596</v>
      </c>
    </row>
    <row r="439" spans="2:12">
      <c r="C439" s="1" t="s">
        <v>309</v>
      </c>
      <c r="D439" s="1" t="str">
        <f t="array" ref="D439:L439">TRANSPOSE(wholesale.data.tiers)</f>
        <v>W/S spare tier 1</v>
      </c>
      <c r="E439" s="1" t="str">
        <v>W/S spare tier 2</v>
      </c>
      <c r="F439" s="1" t="str">
        <v>W/S spare tier 3</v>
      </c>
      <c r="G439" s="1" t="str">
        <v>W/S spare tier 4</v>
      </c>
      <c r="H439" s="1" t="str">
        <v>W/S spare tier 5</v>
      </c>
      <c r="I439" s="1" t="str">
        <v>W/S spare tier 6</v>
      </c>
      <c r="J439" s="1" t="str">
        <v>W/S spare tier 7</v>
      </c>
      <c r="K439" s="1" t="str">
        <v>W/S spare tier 8</v>
      </c>
      <c r="L439" s="1" t="str">
        <v>W/S spare tier 9</v>
      </c>
    </row>
    <row r="440" spans="2:12">
      <c r="C440" s="201" t="str">
        <f t="array" ref="C440:C474">offers.segment.1</f>
        <v>SpareOfferA1</v>
      </c>
      <c r="D440" s="318"/>
      <c r="E440" s="318"/>
      <c r="F440" s="318"/>
      <c r="G440" s="318"/>
      <c r="H440" s="318"/>
      <c r="I440" s="318"/>
      <c r="J440" s="318"/>
      <c r="K440" s="318"/>
      <c r="L440" s="318"/>
    </row>
    <row r="441" spans="2:12" hidden="1" outlineLevel="1">
      <c r="C441" s="201" t="str">
        <v>SpareOfferA2</v>
      </c>
      <c r="D441" s="318"/>
      <c r="E441" s="318"/>
      <c r="F441" s="318"/>
      <c r="G441" s="318"/>
      <c r="H441" s="318"/>
      <c r="I441" s="318"/>
      <c r="J441" s="318"/>
      <c r="K441" s="318"/>
      <c r="L441" s="318"/>
    </row>
    <row r="442" spans="2:12" hidden="1" outlineLevel="1">
      <c r="C442" s="201" t="str">
        <v>SpareOfferA3</v>
      </c>
      <c r="D442" s="318"/>
      <c r="E442" s="318"/>
      <c r="F442" s="318"/>
      <c r="G442" s="318"/>
      <c r="H442" s="318"/>
      <c r="I442" s="318"/>
      <c r="J442" s="318"/>
      <c r="K442" s="318"/>
      <c r="L442" s="318"/>
    </row>
    <row r="443" spans="2:12" hidden="1" outlineLevel="1">
      <c r="C443" s="201" t="str">
        <v>SpareOfferA4</v>
      </c>
      <c r="D443" s="318"/>
      <c r="E443" s="318"/>
      <c r="F443" s="318"/>
      <c r="G443" s="318"/>
      <c r="H443" s="318"/>
      <c r="I443" s="318"/>
      <c r="J443" s="318"/>
      <c r="K443" s="318"/>
      <c r="L443" s="318"/>
    </row>
    <row r="444" spans="2:12" hidden="1" outlineLevel="1">
      <c r="C444" s="201" t="str">
        <v>SpareOfferA5</v>
      </c>
      <c r="D444" s="318"/>
      <c r="E444" s="318"/>
      <c r="F444" s="318"/>
      <c r="G444" s="318"/>
      <c r="H444" s="318"/>
      <c r="I444" s="318"/>
      <c r="J444" s="318"/>
      <c r="K444" s="318"/>
      <c r="L444" s="318"/>
    </row>
    <row r="445" spans="2:12" hidden="1" outlineLevel="1">
      <c r="C445" s="201" t="str">
        <v>SpareOfferA6</v>
      </c>
      <c r="D445" s="318"/>
      <c r="E445" s="318"/>
      <c r="F445" s="318"/>
      <c r="G445" s="318"/>
      <c r="H445" s="318"/>
      <c r="I445" s="318"/>
      <c r="J445" s="318"/>
      <c r="K445" s="318"/>
      <c r="L445" s="318"/>
    </row>
    <row r="446" spans="2:12" hidden="1" outlineLevel="1">
      <c r="C446" s="201" t="str">
        <v>SpareOfferA7</v>
      </c>
      <c r="D446" s="318"/>
      <c r="E446" s="318"/>
      <c r="F446" s="318"/>
      <c r="G446" s="318"/>
      <c r="H446" s="318"/>
      <c r="I446" s="318"/>
      <c r="J446" s="318"/>
      <c r="K446" s="318"/>
      <c r="L446" s="318"/>
    </row>
    <row r="447" spans="2:12" hidden="1" outlineLevel="1">
      <c r="C447" s="201" t="str">
        <v>SpareOfferA8</v>
      </c>
      <c r="D447" s="318"/>
      <c r="E447" s="318"/>
      <c r="F447" s="318"/>
      <c r="G447" s="318"/>
      <c r="H447" s="318"/>
      <c r="I447" s="318"/>
      <c r="J447" s="318"/>
      <c r="K447" s="318"/>
      <c r="L447" s="318"/>
    </row>
    <row r="448" spans="2:12" hidden="1" outlineLevel="1">
      <c r="C448" s="201" t="str">
        <v>SpareOfferA9</v>
      </c>
      <c r="D448" s="318"/>
      <c r="E448" s="318"/>
      <c r="F448" s="318"/>
      <c r="G448" s="318"/>
      <c r="H448" s="318"/>
      <c r="I448" s="318"/>
      <c r="J448" s="318"/>
      <c r="K448" s="318"/>
      <c r="L448" s="318"/>
    </row>
    <row r="449" spans="3:12" hidden="1" outlineLevel="1">
      <c r="C449" s="201" t="str">
        <v>SpareOfferA10</v>
      </c>
      <c r="D449" s="318"/>
      <c r="E449" s="318"/>
      <c r="F449" s="318"/>
      <c r="G449" s="318"/>
      <c r="H449" s="318"/>
      <c r="I449" s="318"/>
      <c r="J449" s="318"/>
      <c r="K449" s="318"/>
      <c r="L449" s="318"/>
    </row>
    <row r="450" spans="3:12" hidden="1" outlineLevel="1">
      <c r="C450" s="201" t="str">
        <v>SpareOfferA11</v>
      </c>
      <c r="D450" s="318"/>
      <c r="E450" s="318"/>
      <c r="F450" s="318"/>
      <c r="G450" s="318"/>
      <c r="H450" s="318"/>
      <c r="I450" s="318"/>
      <c r="J450" s="318"/>
      <c r="K450" s="318"/>
      <c r="L450" s="318"/>
    </row>
    <row r="451" spans="3:12" hidden="1" outlineLevel="1">
      <c r="C451" s="201" t="str">
        <v>SpareOfferA12</v>
      </c>
      <c r="D451" s="318"/>
      <c r="E451" s="318"/>
      <c r="F451" s="318"/>
      <c r="G451" s="318"/>
      <c r="H451" s="318"/>
      <c r="I451" s="318"/>
      <c r="J451" s="318"/>
      <c r="K451" s="318"/>
      <c r="L451" s="318"/>
    </row>
    <row r="452" spans="3:12" hidden="1" outlineLevel="1">
      <c r="C452" s="201" t="str">
        <v>SpareOfferA13</v>
      </c>
      <c r="D452" s="318"/>
      <c r="E452" s="318"/>
      <c r="F452" s="318"/>
      <c r="G452" s="318"/>
      <c r="H452" s="318"/>
      <c r="I452" s="318"/>
      <c r="J452" s="318"/>
      <c r="K452" s="318"/>
      <c r="L452" s="318"/>
    </row>
    <row r="453" spans="3:12" hidden="1" outlineLevel="1">
      <c r="C453" s="201" t="str">
        <v>SpareOfferA14</v>
      </c>
      <c r="D453" s="318"/>
      <c r="E453" s="318"/>
      <c r="F453" s="318"/>
      <c r="G453" s="318"/>
      <c r="H453" s="318"/>
      <c r="I453" s="318"/>
      <c r="J453" s="318"/>
      <c r="K453" s="318"/>
      <c r="L453" s="318"/>
    </row>
    <row r="454" spans="3:12" hidden="1" outlineLevel="1">
      <c r="C454" s="201" t="str">
        <v>SpareOfferA15</v>
      </c>
      <c r="D454" s="318"/>
      <c r="E454" s="318"/>
      <c r="F454" s="318"/>
      <c r="G454" s="318"/>
      <c r="H454" s="318"/>
      <c r="I454" s="318"/>
      <c r="J454" s="318"/>
      <c r="K454" s="318"/>
      <c r="L454" s="318"/>
    </row>
    <row r="455" spans="3:12" hidden="1" outlineLevel="1">
      <c r="C455" s="201" t="str">
        <v>SpareOfferA16</v>
      </c>
      <c r="D455" s="318"/>
      <c r="E455" s="318"/>
      <c r="F455" s="318"/>
      <c r="G455" s="318"/>
      <c r="H455" s="318"/>
      <c r="I455" s="318"/>
      <c r="J455" s="318"/>
      <c r="K455" s="318"/>
      <c r="L455" s="318"/>
    </row>
    <row r="456" spans="3:12" hidden="1" outlineLevel="1">
      <c r="C456" s="201" t="str">
        <v>SpareOfferA17</v>
      </c>
      <c r="D456" s="318"/>
      <c r="E456" s="318"/>
      <c r="F456" s="318"/>
      <c r="G456" s="318"/>
      <c r="H456" s="318"/>
      <c r="I456" s="318"/>
      <c r="J456" s="318"/>
      <c r="K456" s="318"/>
      <c r="L456" s="318"/>
    </row>
    <row r="457" spans="3:12" hidden="1" outlineLevel="1">
      <c r="C457" s="201" t="str">
        <v>SpareOfferA18</v>
      </c>
      <c r="D457" s="318"/>
      <c r="E457" s="318"/>
      <c r="F457" s="318"/>
      <c r="G457" s="318"/>
      <c r="H457" s="318"/>
      <c r="I457" s="318"/>
      <c r="J457" s="318"/>
      <c r="K457" s="318"/>
      <c r="L457" s="318"/>
    </row>
    <row r="458" spans="3:12" hidden="1" outlineLevel="1">
      <c r="C458" s="201" t="str">
        <v>SpareOfferA19</v>
      </c>
      <c r="D458" s="318"/>
      <c r="E458" s="318"/>
      <c r="F458" s="318"/>
      <c r="G458" s="318"/>
      <c r="H458" s="318"/>
      <c r="I458" s="318"/>
      <c r="J458" s="318"/>
      <c r="K458" s="318"/>
      <c r="L458" s="318"/>
    </row>
    <row r="459" spans="3:12" hidden="1" outlineLevel="1">
      <c r="C459" s="201" t="str">
        <v>SpareOfferA20</v>
      </c>
      <c r="D459" s="318"/>
      <c r="E459" s="318"/>
      <c r="F459" s="318"/>
      <c r="G459" s="318"/>
      <c r="H459" s="318"/>
      <c r="I459" s="318"/>
      <c r="J459" s="318"/>
      <c r="K459" s="318"/>
      <c r="L459" s="318"/>
    </row>
    <row r="460" spans="3:12" hidden="1" outlineLevel="1">
      <c r="C460" s="201" t="str">
        <v>SpareOfferA21</v>
      </c>
      <c r="D460" s="318"/>
      <c r="E460" s="318"/>
      <c r="F460" s="318"/>
      <c r="G460" s="318"/>
      <c r="H460" s="318"/>
      <c r="I460" s="318"/>
      <c r="J460" s="318"/>
      <c r="K460" s="318"/>
      <c r="L460" s="318"/>
    </row>
    <row r="461" spans="3:12" hidden="1" outlineLevel="1">
      <c r="C461" s="201" t="str">
        <v>SpareOfferA22</v>
      </c>
      <c r="D461" s="318"/>
      <c r="E461" s="318"/>
      <c r="F461" s="318"/>
      <c r="G461" s="318"/>
      <c r="H461" s="318"/>
      <c r="I461" s="318"/>
      <c r="J461" s="318"/>
      <c r="K461" s="318"/>
      <c r="L461" s="318"/>
    </row>
    <row r="462" spans="3:12" hidden="1" outlineLevel="1">
      <c r="C462" s="201" t="str">
        <v>SpareOfferA23</v>
      </c>
      <c r="D462" s="318"/>
      <c r="E462" s="318"/>
      <c r="F462" s="318"/>
      <c r="G462" s="318"/>
      <c r="H462" s="318"/>
      <c r="I462" s="318"/>
      <c r="J462" s="318"/>
      <c r="K462" s="318"/>
      <c r="L462" s="318"/>
    </row>
    <row r="463" spans="3:12" hidden="1" outlineLevel="1">
      <c r="C463" s="201" t="str">
        <v>SpareOfferA24</v>
      </c>
      <c r="D463" s="318"/>
      <c r="E463" s="318"/>
      <c r="F463" s="318"/>
      <c r="G463" s="318"/>
      <c r="H463" s="318"/>
      <c r="I463" s="318"/>
      <c r="J463" s="318"/>
      <c r="K463" s="318"/>
      <c r="L463" s="318"/>
    </row>
    <row r="464" spans="3:12" hidden="1" outlineLevel="1">
      <c r="C464" s="201" t="str">
        <v>SpareOfferA25</v>
      </c>
      <c r="D464" s="318"/>
      <c r="E464" s="318"/>
      <c r="F464" s="318"/>
      <c r="G464" s="318"/>
      <c r="H464" s="318"/>
      <c r="I464" s="318"/>
      <c r="J464" s="318"/>
      <c r="K464" s="318"/>
      <c r="L464" s="318"/>
    </row>
    <row r="465" spans="3:12" hidden="1" outlineLevel="1">
      <c r="C465" s="201" t="str">
        <v>SpareOfferA26</v>
      </c>
      <c r="D465" s="318"/>
      <c r="E465" s="318"/>
      <c r="F465" s="318"/>
      <c r="G465" s="318"/>
      <c r="H465" s="318"/>
      <c r="I465" s="318"/>
      <c r="J465" s="318"/>
      <c r="K465" s="318"/>
      <c r="L465" s="318"/>
    </row>
    <row r="466" spans="3:12" hidden="1" outlineLevel="1">
      <c r="C466" s="201" t="str">
        <v>SpareOfferA27</v>
      </c>
      <c r="D466" s="318"/>
      <c r="E466" s="318"/>
      <c r="F466" s="318"/>
      <c r="G466" s="318"/>
      <c r="H466" s="318"/>
      <c r="I466" s="318"/>
      <c r="J466" s="318"/>
      <c r="K466" s="318"/>
      <c r="L466" s="318"/>
    </row>
    <row r="467" spans="3:12" hidden="1" outlineLevel="1">
      <c r="C467" s="201" t="str">
        <v>SpareOfferA28</v>
      </c>
      <c r="D467" s="318"/>
      <c r="E467" s="318"/>
      <c r="F467" s="318"/>
      <c r="G467" s="318"/>
      <c r="H467" s="318"/>
      <c r="I467" s="318"/>
      <c r="J467" s="318"/>
      <c r="K467" s="318"/>
      <c r="L467" s="318"/>
    </row>
    <row r="468" spans="3:12" hidden="1" outlineLevel="1">
      <c r="C468" s="201" t="str">
        <v>SpareOfferA29</v>
      </c>
      <c r="D468" s="318"/>
      <c r="E468" s="318"/>
      <c r="F468" s="318"/>
      <c r="G468" s="318"/>
      <c r="H468" s="318"/>
      <c r="I468" s="318"/>
      <c r="J468" s="318"/>
      <c r="K468" s="318"/>
      <c r="L468" s="318"/>
    </row>
    <row r="469" spans="3:12" hidden="1" outlineLevel="1">
      <c r="C469" s="201" t="str">
        <v>SpareOfferA30</v>
      </c>
      <c r="D469" s="318"/>
      <c r="E469" s="318"/>
      <c r="F469" s="318"/>
      <c r="G469" s="318"/>
      <c r="H469" s="318"/>
      <c r="I469" s="318"/>
      <c r="J469" s="318"/>
      <c r="K469" s="318"/>
      <c r="L469" s="318"/>
    </row>
    <row r="470" spans="3:12" hidden="1" outlineLevel="1">
      <c r="C470" s="201" t="str">
        <v>SpareOfferA31</v>
      </c>
      <c r="D470" s="318"/>
      <c r="E470" s="318"/>
      <c r="F470" s="318"/>
      <c r="G470" s="318"/>
      <c r="H470" s="318"/>
      <c r="I470" s="318"/>
      <c r="J470" s="318"/>
      <c r="K470" s="318"/>
      <c r="L470" s="318"/>
    </row>
    <row r="471" spans="3:12" hidden="1" outlineLevel="1">
      <c r="C471" s="201" t="str">
        <v>SpareOfferA32</v>
      </c>
      <c r="D471" s="318"/>
      <c r="E471" s="318"/>
      <c r="F471" s="318"/>
      <c r="G471" s="318"/>
      <c r="H471" s="318"/>
      <c r="I471" s="318"/>
      <c r="J471" s="318"/>
      <c r="K471" s="318"/>
      <c r="L471" s="318"/>
    </row>
    <row r="472" spans="3:12" hidden="1" outlineLevel="1">
      <c r="C472" s="201" t="str">
        <v>SpareOfferA33</v>
      </c>
      <c r="D472" s="318"/>
      <c r="E472" s="318"/>
      <c r="F472" s="318"/>
      <c r="G472" s="318"/>
      <c r="H472" s="318"/>
      <c r="I472" s="318"/>
      <c r="J472" s="318"/>
      <c r="K472" s="318"/>
      <c r="L472" s="318"/>
    </row>
    <row r="473" spans="3:12" hidden="1" outlineLevel="1">
      <c r="C473" s="201" t="str">
        <v>SpareOfferA34</v>
      </c>
      <c r="D473" s="318"/>
      <c r="E473" s="318"/>
      <c r="F473" s="318"/>
      <c r="G473" s="318"/>
      <c r="H473" s="318"/>
      <c r="I473" s="318"/>
      <c r="J473" s="318"/>
      <c r="K473" s="318"/>
      <c r="L473" s="318"/>
    </row>
    <row r="474" spans="3:12" hidden="1" outlineLevel="1">
      <c r="C474" s="201" t="str">
        <v>SpareOfferA35</v>
      </c>
      <c r="D474" s="318"/>
      <c r="E474" s="318"/>
      <c r="F474" s="318"/>
      <c r="G474" s="318"/>
      <c r="H474" s="318"/>
      <c r="I474" s="318"/>
      <c r="J474" s="318"/>
      <c r="K474" s="318"/>
      <c r="L474" s="318"/>
    </row>
    <row r="475" spans="3:12" hidden="1" outlineLevel="1">
      <c r="C475" s="203" t="str">
        <f t="array" ref="C475:C509">offers.segment.2</f>
        <v>SpareOfferB1</v>
      </c>
      <c r="D475" s="318"/>
      <c r="E475" s="318"/>
      <c r="F475" s="318"/>
      <c r="G475" s="318"/>
      <c r="H475" s="318"/>
      <c r="I475" s="318"/>
      <c r="J475" s="318"/>
      <c r="K475" s="318"/>
      <c r="L475" s="318"/>
    </row>
    <row r="476" spans="3:12" hidden="1" outlineLevel="1">
      <c r="C476" s="203" t="str">
        <v>SpareOfferB2</v>
      </c>
      <c r="D476" s="318"/>
      <c r="E476" s="318"/>
      <c r="F476" s="318"/>
      <c r="G476" s="318"/>
      <c r="H476" s="318"/>
      <c r="I476" s="318"/>
      <c r="J476" s="318"/>
      <c r="K476" s="318"/>
      <c r="L476" s="318"/>
    </row>
    <row r="477" spans="3:12" hidden="1" outlineLevel="1">
      <c r="C477" s="203" t="str">
        <v>SpareOfferB3</v>
      </c>
      <c r="D477" s="318"/>
      <c r="E477" s="318"/>
      <c r="F477" s="318"/>
      <c r="G477" s="318"/>
      <c r="H477" s="318"/>
      <c r="I477" s="318"/>
      <c r="J477" s="318"/>
      <c r="K477" s="318"/>
      <c r="L477" s="318"/>
    </row>
    <row r="478" spans="3:12" hidden="1" outlineLevel="1">
      <c r="C478" s="203" t="str">
        <v>SpareOfferB4</v>
      </c>
      <c r="D478" s="318"/>
      <c r="E478" s="318"/>
      <c r="F478" s="318"/>
      <c r="G478" s="318"/>
      <c r="H478" s="318"/>
      <c r="I478" s="318"/>
      <c r="J478" s="318"/>
      <c r="K478" s="318"/>
      <c r="L478" s="318"/>
    </row>
    <row r="479" spans="3:12" hidden="1" outlineLevel="1">
      <c r="C479" s="203" t="str">
        <v>SpareOfferB5</v>
      </c>
      <c r="D479" s="318"/>
      <c r="E479" s="318"/>
      <c r="F479" s="318"/>
      <c r="G479" s="318"/>
      <c r="H479" s="318"/>
      <c r="I479" s="318"/>
      <c r="J479" s="318"/>
      <c r="K479" s="318"/>
      <c r="L479" s="318"/>
    </row>
    <row r="480" spans="3:12" hidden="1" outlineLevel="1">
      <c r="C480" s="203" t="str">
        <v>SpareOfferB6</v>
      </c>
      <c r="D480" s="318"/>
      <c r="E480" s="318"/>
      <c r="F480" s="318"/>
      <c r="G480" s="318"/>
      <c r="H480" s="318"/>
      <c r="I480" s="318"/>
      <c r="J480" s="318"/>
      <c r="K480" s="318"/>
      <c r="L480" s="318"/>
    </row>
    <row r="481" spans="3:12" hidden="1" outlineLevel="1">
      <c r="C481" s="203" t="str">
        <v>SpareOfferB7</v>
      </c>
      <c r="D481" s="318"/>
      <c r="E481" s="318"/>
      <c r="F481" s="318"/>
      <c r="G481" s="318"/>
      <c r="H481" s="318"/>
      <c r="I481" s="318"/>
      <c r="J481" s="318"/>
      <c r="K481" s="318"/>
      <c r="L481" s="318"/>
    </row>
    <row r="482" spans="3:12" hidden="1" outlineLevel="1">
      <c r="C482" s="203" t="str">
        <v>SpareOfferB8</v>
      </c>
      <c r="D482" s="318"/>
      <c r="E482" s="318"/>
      <c r="F482" s="318"/>
      <c r="G482" s="318"/>
      <c r="H482" s="318"/>
      <c r="I482" s="318"/>
      <c r="J482" s="318"/>
      <c r="K482" s="318"/>
      <c r="L482" s="318"/>
    </row>
    <row r="483" spans="3:12" hidden="1" outlineLevel="1">
      <c r="C483" s="203" t="str">
        <v>SpareOfferB9</v>
      </c>
      <c r="D483" s="318"/>
      <c r="E483" s="318"/>
      <c r="F483" s="318"/>
      <c r="G483" s="318"/>
      <c r="H483" s="318"/>
      <c r="I483" s="318"/>
      <c r="J483" s="318"/>
      <c r="K483" s="318"/>
      <c r="L483" s="318"/>
    </row>
    <row r="484" spans="3:12" hidden="1" outlineLevel="1">
      <c r="C484" s="203" t="str">
        <v>SpareOfferB10</v>
      </c>
      <c r="D484" s="318"/>
      <c r="E484" s="318"/>
      <c r="F484" s="318"/>
      <c r="G484" s="318"/>
      <c r="H484" s="318"/>
      <c r="I484" s="318"/>
      <c r="J484" s="318"/>
      <c r="K484" s="318"/>
      <c r="L484" s="318"/>
    </row>
    <row r="485" spans="3:12" hidden="1" outlineLevel="1">
      <c r="C485" s="203" t="str">
        <v>SpareOfferB11</v>
      </c>
      <c r="D485" s="318"/>
      <c r="E485" s="318"/>
      <c r="F485" s="318"/>
      <c r="G485" s="318"/>
      <c r="H485" s="318"/>
      <c r="I485" s="318"/>
      <c r="J485" s="318"/>
      <c r="K485" s="318"/>
      <c r="L485" s="318"/>
    </row>
    <row r="486" spans="3:12" hidden="1" outlineLevel="1">
      <c r="C486" s="203" t="str">
        <v>SpareOfferB12</v>
      </c>
      <c r="D486" s="318"/>
      <c r="E486" s="318"/>
      <c r="F486" s="318"/>
      <c r="G486" s="318"/>
      <c r="H486" s="318"/>
      <c r="I486" s="318"/>
      <c r="J486" s="318"/>
      <c r="K486" s="318"/>
      <c r="L486" s="318"/>
    </row>
    <row r="487" spans="3:12" hidden="1" outlineLevel="1">
      <c r="C487" s="203" t="str">
        <v>SpareOfferB13</v>
      </c>
      <c r="D487" s="318"/>
      <c r="E487" s="318"/>
      <c r="F487" s="318"/>
      <c r="G487" s="318"/>
      <c r="H487" s="318"/>
      <c r="I487" s="318"/>
      <c r="J487" s="318"/>
      <c r="K487" s="318"/>
      <c r="L487" s="318"/>
    </row>
    <row r="488" spans="3:12" hidden="1" outlineLevel="1">
      <c r="C488" s="203" t="str">
        <v>SpareOfferB14</v>
      </c>
      <c r="D488" s="318"/>
      <c r="E488" s="318"/>
      <c r="F488" s="318"/>
      <c r="G488" s="318"/>
      <c r="H488" s="318"/>
      <c r="I488" s="318"/>
      <c r="J488" s="318"/>
      <c r="K488" s="318"/>
      <c r="L488" s="318"/>
    </row>
    <row r="489" spans="3:12" hidden="1" outlineLevel="1">
      <c r="C489" s="203" t="str">
        <v>SpareOfferB15</v>
      </c>
      <c r="D489" s="318"/>
      <c r="E489" s="318"/>
      <c r="F489" s="318"/>
      <c r="G489" s="318"/>
      <c r="H489" s="318"/>
      <c r="I489" s="318"/>
      <c r="J489" s="318"/>
      <c r="K489" s="318"/>
      <c r="L489" s="318"/>
    </row>
    <row r="490" spans="3:12" hidden="1" outlineLevel="1">
      <c r="C490" s="203" t="str">
        <v>SpareOfferB16</v>
      </c>
      <c r="D490" s="318"/>
      <c r="E490" s="318"/>
      <c r="F490" s="318"/>
      <c r="G490" s="318"/>
      <c r="H490" s="318"/>
      <c r="I490" s="318"/>
      <c r="J490" s="318"/>
      <c r="K490" s="318"/>
      <c r="L490" s="318"/>
    </row>
    <row r="491" spans="3:12" hidden="1" outlineLevel="1">
      <c r="C491" s="203" t="str">
        <v>SpareOfferB17</v>
      </c>
      <c r="D491" s="318"/>
      <c r="E491" s="318"/>
      <c r="F491" s="318"/>
      <c r="G491" s="318"/>
      <c r="H491" s="318"/>
      <c r="I491" s="318"/>
      <c r="J491" s="318"/>
      <c r="K491" s="318"/>
      <c r="L491" s="318"/>
    </row>
    <row r="492" spans="3:12" hidden="1" outlineLevel="1">
      <c r="C492" s="203" t="str">
        <v>SpareOfferB18</v>
      </c>
      <c r="D492" s="318"/>
      <c r="E492" s="318"/>
      <c r="F492" s="318"/>
      <c r="G492" s="318"/>
      <c r="H492" s="318"/>
      <c r="I492" s="318"/>
      <c r="J492" s="318"/>
      <c r="K492" s="318"/>
      <c r="L492" s="318"/>
    </row>
    <row r="493" spans="3:12" hidden="1" outlineLevel="1">
      <c r="C493" s="203" t="str">
        <v>SpareOfferB19</v>
      </c>
      <c r="D493" s="318"/>
      <c r="E493" s="318"/>
      <c r="F493" s="318"/>
      <c r="G493" s="318"/>
      <c r="H493" s="318"/>
      <c r="I493" s="318"/>
      <c r="J493" s="318"/>
      <c r="K493" s="318"/>
      <c r="L493" s="318"/>
    </row>
    <row r="494" spans="3:12" hidden="1" outlineLevel="1">
      <c r="C494" s="203" t="str">
        <v>SpareOfferB20</v>
      </c>
      <c r="D494" s="318"/>
      <c r="E494" s="318"/>
      <c r="F494" s="318"/>
      <c r="G494" s="318"/>
      <c r="H494" s="318"/>
      <c r="I494" s="318"/>
      <c r="J494" s="318"/>
      <c r="K494" s="318"/>
      <c r="L494" s="318"/>
    </row>
    <row r="495" spans="3:12" hidden="1" outlineLevel="1">
      <c r="C495" s="203" t="str">
        <v>SpareOfferB21</v>
      </c>
      <c r="D495" s="318"/>
      <c r="E495" s="318"/>
      <c r="F495" s="318"/>
      <c r="G495" s="318"/>
      <c r="H495" s="318"/>
      <c r="I495" s="318"/>
      <c r="J495" s="318"/>
      <c r="K495" s="318"/>
      <c r="L495" s="318"/>
    </row>
    <row r="496" spans="3:12" hidden="1" outlineLevel="1">
      <c r="C496" s="203" t="str">
        <v>SpareOfferB22</v>
      </c>
      <c r="D496" s="318"/>
      <c r="E496" s="318"/>
      <c r="F496" s="318"/>
      <c r="G496" s="318"/>
      <c r="H496" s="318"/>
      <c r="I496" s="318"/>
      <c r="J496" s="318"/>
      <c r="K496" s="318"/>
      <c r="L496" s="318"/>
    </row>
    <row r="497" spans="3:12" hidden="1" outlineLevel="1">
      <c r="C497" s="203" t="str">
        <v>SpareOfferB23</v>
      </c>
      <c r="D497" s="318"/>
      <c r="E497" s="318"/>
      <c r="F497" s="318"/>
      <c r="G497" s="318"/>
      <c r="H497" s="318"/>
      <c r="I497" s="318"/>
      <c r="J497" s="318"/>
      <c r="K497" s="318"/>
      <c r="L497" s="318"/>
    </row>
    <row r="498" spans="3:12" hidden="1" outlineLevel="1">
      <c r="C498" s="203" t="str">
        <v>SpareOfferB24</v>
      </c>
      <c r="D498" s="318"/>
      <c r="E498" s="318"/>
      <c r="F498" s="318"/>
      <c r="G498" s="318"/>
      <c r="H498" s="318"/>
      <c r="I498" s="318"/>
      <c r="J498" s="318"/>
      <c r="K498" s="318"/>
      <c r="L498" s="318"/>
    </row>
    <row r="499" spans="3:12" hidden="1" outlineLevel="1">
      <c r="C499" s="203" t="str">
        <v>SpareOfferB25</v>
      </c>
      <c r="D499" s="318"/>
      <c r="E499" s="318"/>
      <c r="F499" s="318"/>
      <c r="G499" s="318"/>
      <c r="H499" s="318"/>
      <c r="I499" s="318"/>
      <c r="J499" s="318"/>
      <c r="K499" s="318"/>
      <c r="L499" s="318"/>
    </row>
    <row r="500" spans="3:12" hidden="1" outlineLevel="1">
      <c r="C500" s="203" t="str">
        <v>SpareOfferB26</v>
      </c>
      <c r="D500" s="318"/>
      <c r="E500" s="318"/>
      <c r="F500" s="318"/>
      <c r="G500" s="318"/>
      <c r="H500" s="318"/>
      <c r="I500" s="318"/>
      <c r="J500" s="318"/>
      <c r="K500" s="318"/>
      <c r="L500" s="318"/>
    </row>
    <row r="501" spans="3:12" hidden="1" outlineLevel="1">
      <c r="C501" s="203" t="str">
        <v>SpareOfferB27</v>
      </c>
      <c r="D501" s="318"/>
      <c r="E501" s="318"/>
      <c r="F501" s="318"/>
      <c r="G501" s="318"/>
      <c r="H501" s="318"/>
      <c r="I501" s="318"/>
      <c r="J501" s="318"/>
      <c r="K501" s="318"/>
      <c r="L501" s="318"/>
    </row>
    <row r="502" spans="3:12" hidden="1" outlineLevel="1">
      <c r="C502" s="203" t="str">
        <v>SpareOfferB28</v>
      </c>
      <c r="D502" s="318"/>
      <c r="E502" s="318"/>
      <c r="F502" s="318"/>
      <c r="G502" s="318"/>
      <c r="H502" s="318"/>
      <c r="I502" s="318"/>
      <c r="J502" s="318"/>
      <c r="K502" s="318"/>
      <c r="L502" s="318"/>
    </row>
    <row r="503" spans="3:12" hidden="1" outlineLevel="1">
      <c r="C503" s="203" t="str">
        <v>SpareOfferB29</v>
      </c>
      <c r="D503" s="318"/>
      <c r="E503" s="318"/>
      <c r="F503" s="318"/>
      <c r="G503" s="318"/>
      <c r="H503" s="318"/>
      <c r="I503" s="318"/>
      <c r="J503" s="318"/>
      <c r="K503" s="318"/>
      <c r="L503" s="318"/>
    </row>
    <row r="504" spans="3:12" hidden="1" outlineLevel="1">
      <c r="C504" s="203" t="str">
        <v>SpareOfferB30</v>
      </c>
      <c r="D504" s="318"/>
      <c r="E504" s="318"/>
      <c r="F504" s="318"/>
      <c r="G504" s="318"/>
      <c r="H504" s="318"/>
      <c r="I504" s="318"/>
      <c r="J504" s="318"/>
      <c r="K504" s="318"/>
      <c r="L504" s="318"/>
    </row>
    <row r="505" spans="3:12" hidden="1" outlineLevel="1">
      <c r="C505" s="203" t="str">
        <v>SpareOfferB31</v>
      </c>
      <c r="D505" s="318"/>
      <c r="E505" s="318"/>
      <c r="F505" s="318"/>
      <c r="G505" s="318"/>
      <c r="H505" s="318"/>
      <c r="I505" s="318"/>
      <c r="J505" s="318"/>
      <c r="K505" s="318"/>
      <c r="L505" s="318"/>
    </row>
    <row r="506" spans="3:12" hidden="1" outlineLevel="1">
      <c r="C506" s="203" t="str">
        <v>SpareOfferB32</v>
      </c>
      <c r="D506" s="318"/>
      <c r="E506" s="318"/>
      <c r="F506" s="318"/>
      <c r="G506" s="318"/>
      <c r="H506" s="318"/>
      <c r="I506" s="318"/>
      <c r="J506" s="318"/>
      <c r="K506" s="318"/>
      <c r="L506" s="318"/>
    </row>
    <row r="507" spans="3:12" hidden="1" outlineLevel="1">
      <c r="C507" s="203" t="str">
        <v>SpareOfferB33</v>
      </c>
      <c r="D507" s="318"/>
      <c r="E507" s="318"/>
      <c r="F507" s="318"/>
      <c r="G507" s="318"/>
      <c r="H507" s="318"/>
      <c r="I507" s="318"/>
      <c r="J507" s="318"/>
      <c r="K507" s="318"/>
      <c r="L507" s="318"/>
    </row>
    <row r="508" spans="3:12" hidden="1" outlineLevel="1">
      <c r="C508" s="203" t="str">
        <v>SpareOfferB34</v>
      </c>
      <c r="D508" s="318"/>
      <c r="E508" s="318"/>
      <c r="F508" s="318"/>
      <c r="G508" s="318"/>
      <c r="H508" s="318"/>
      <c r="I508" s="318"/>
      <c r="J508" s="318"/>
      <c r="K508" s="318"/>
      <c r="L508" s="318"/>
    </row>
    <row r="509" spans="3:12" hidden="1" outlineLevel="1">
      <c r="C509" s="203" t="str">
        <v>SpareOfferB35</v>
      </c>
      <c r="D509" s="318"/>
      <c r="E509" s="318"/>
      <c r="F509" s="318"/>
      <c r="G509" s="318"/>
      <c r="H509" s="318"/>
      <c r="I509" s="318"/>
      <c r="J509" s="318"/>
      <c r="K509" s="318"/>
      <c r="L509" s="318"/>
    </row>
    <row r="510" spans="3:12" hidden="1" outlineLevel="1">
      <c r="C510" s="201" t="str">
        <f t="array" ref="C510:C544">offers.segment.3</f>
        <v>SpareOfferC1</v>
      </c>
      <c r="D510" s="318"/>
      <c r="E510" s="318"/>
      <c r="F510" s="318"/>
      <c r="G510" s="318"/>
      <c r="H510" s="318"/>
      <c r="I510" s="318"/>
      <c r="J510" s="318"/>
      <c r="K510" s="318"/>
      <c r="L510" s="318"/>
    </row>
    <row r="511" spans="3:12" hidden="1" outlineLevel="1">
      <c r="C511" s="201" t="str">
        <v>SpareOfferC2</v>
      </c>
      <c r="D511" s="318"/>
      <c r="E511" s="318"/>
      <c r="F511" s="318"/>
      <c r="G511" s="318"/>
      <c r="H511" s="318"/>
      <c r="I511" s="318"/>
      <c r="J511" s="318"/>
      <c r="K511" s="318"/>
      <c r="L511" s="318"/>
    </row>
    <row r="512" spans="3:12" hidden="1" outlineLevel="1">
      <c r="C512" s="201" t="str">
        <v>SpareOfferC3</v>
      </c>
      <c r="D512" s="318"/>
      <c r="E512" s="318"/>
      <c r="F512" s="318"/>
      <c r="G512" s="318"/>
      <c r="H512" s="318"/>
      <c r="I512" s="318"/>
      <c r="J512" s="318"/>
      <c r="K512" s="318"/>
      <c r="L512" s="318"/>
    </row>
    <row r="513" spans="3:12" hidden="1" outlineLevel="1">
      <c r="C513" s="201" t="str">
        <v>SpareOfferC4</v>
      </c>
      <c r="D513" s="318"/>
      <c r="E513" s="318"/>
      <c r="F513" s="318"/>
      <c r="G513" s="318"/>
      <c r="H513" s="318"/>
      <c r="I513" s="318"/>
      <c r="J513" s="318"/>
      <c r="K513" s="318"/>
      <c r="L513" s="318"/>
    </row>
    <row r="514" spans="3:12" hidden="1" outlineLevel="1">
      <c r="C514" s="201" t="str">
        <v>SpareOfferC5</v>
      </c>
      <c r="D514" s="318"/>
      <c r="E514" s="318"/>
      <c r="F514" s="318"/>
      <c r="G514" s="318"/>
      <c r="H514" s="318"/>
      <c r="I514" s="318"/>
      <c r="J514" s="318"/>
      <c r="K514" s="318"/>
      <c r="L514" s="318"/>
    </row>
    <row r="515" spans="3:12" hidden="1" outlineLevel="1">
      <c r="C515" s="201" t="str">
        <v>SpareOfferC6</v>
      </c>
      <c r="D515" s="318"/>
      <c r="E515" s="318"/>
      <c r="F515" s="318"/>
      <c r="G515" s="318"/>
      <c r="H515" s="318"/>
      <c r="I515" s="318"/>
      <c r="J515" s="318"/>
      <c r="K515" s="318"/>
      <c r="L515" s="318"/>
    </row>
    <row r="516" spans="3:12" hidden="1" outlineLevel="1">
      <c r="C516" s="201" t="str">
        <v>SpareOfferC7</v>
      </c>
      <c r="D516" s="318"/>
      <c r="E516" s="318"/>
      <c r="F516" s="318"/>
      <c r="G516" s="318"/>
      <c r="H516" s="318"/>
      <c r="I516" s="318"/>
      <c r="J516" s="318"/>
      <c r="K516" s="318"/>
      <c r="L516" s="318"/>
    </row>
    <row r="517" spans="3:12" hidden="1" outlineLevel="1">
      <c r="C517" s="201" t="str">
        <v>SpareOfferC8</v>
      </c>
      <c r="D517" s="318"/>
      <c r="E517" s="318"/>
      <c r="F517" s="318"/>
      <c r="G517" s="318"/>
      <c r="H517" s="318"/>
      <c r="I517" s="318"/>
      <c r="J517" s="318"/>
      <c r="K517" s="318"/>
      <c r="L517" s="318"/>
    </row>
    <row r="518" spans="3:12" hidden="1" outlineLevel="1">
      <c r="C518" s="201" t="str">
        <v>SpareOfferC9</v>
      </c>
      <c r="D518" s="318"/>
      <c r="E518" s="318"/>
      <c r="F518" s="318"/>
      <c r="G518" s="318"/>
      <c r="H518" s="318"/>
      <c r="I518" s="318"/>
      <c r="J518" s="318"/>
      <c r="K518" s="318"/>
      <c r="L518" s="318"/>
    </row>
    <row r="519" spans="3:12" hidden="1" outlineLevel="1">
      <c r="C519" s="201" t="str">
        <v>SpareOfferC10</v>
      </c>
      <c r="D519" s="318"/>
      <c r="E519" s="318"/>
      <c r="F519" s="318"/>
      <c r="G519" s="318"/>
      <c r="H519" s="318"/>
      <c r="I519" s="318"/>
      <c r="J519" s="318"/>
      <c r="K519" s="318"/>
      <c r="L519" s="318"/>
    </row>
    <row r="520" spans="3:12" hidden="1" outlineLevel="1">
      <c r="C520" s="201" t="str">
        <v>SpareOfferC11</v>
      </c>
      <c r="D520" s="318"/>
      <c r="E520" s="318"/>
      <c r="F520" s="318"/>
      <c r="G520" s="318"/>
      <c r="H520" s="318"/>
      <c r="I520" s="318"/>
      <c r="J520" s="318"/>
      <c r="K520" s="318"/>
      <c r="L520" s="318"/>
    </row>
    <row r="521" spans="3:12" hidden="1" outlineLevel="1">
      <c r="C521" s="201" t="str">
        <v>SpareOfferC12</v>
      </c>
      <c r="D521" s="318"/>
      <c r="E521" s="318"/>
      <c r="F521" s="318"/>
      <c r="G521" s="318"/>
      <c r="H521" s="318"/>
      <c r="I521" s="318"/>
      <c r="J521" s="318"/>
      <c r="K521" s="318"/>
      <c r="L521" s="318"/>
    </row>
    <row r="522" spans="3:12" hidden="1" outlineLevel="1">
      <c r="C522" s="201" t="str">
        <v>SpareOfferC13</v>
      </c>
      <c r="D522" s="318"/>
      <c r="E522" s="318"/>
      <c r="F522" s="318"/>
      <c r="G522" s="318"/>
      <c r="H522" s="318"/>
      <c r="I522" s="318"/>
      <c r="J522" s="318"/>
      <c r="K522" s="318"/>
      <c r="L522" s="318"/>
    </row>
    <row r="523" spans="3:12" hidden="1" outlineLevel="1">
      <c r="C523" s="201" t="str">
        <v>SpareOfferC14</v>
      </c>
      <c r="D523" s="318"/>
      <c r="E523" s="318"/>
      <c r="F523" s="318"/>
      <c r="G523" s="318"/>
      <c r="H523" s="318"/>
      <c r="I523" s="318"/>
      <c r="J523" s="318"/>
      <c r="K523" s="318"/>
      <c r="L523" s="318"/>
    </row>
    <row r="524" spans="3:12" hidden="1" outlineLevel="1">
      <c r="C524" s="201" t="str">
        <v>SpareOfferC15</v>
      </c>
      <c r="D524" s="318"/>
      <c r="E524" s="318"/>
      <c r="F524" s="318"/>
      <c r="G524" s="318"/>
      <c r="H524" s="318"/>
      <c r="I524" s="318"/>
      <c r="J524" s="318"/>
      <c r="K524" s="318"/>
      <c r="L524" s="318"/>
    </row>
    <row r="525" spans="3:12" hidden="1" outlineLevel="1">
      <c r="C525" s="201" t="str">
        <v>SpareOfferC16</v>
      </c>
      <c r="D525" s="318"/>
      <c r="E525" s="318"/>
      <c r="F525" s="318"/>
      <c r="G525" s="318"/>
      <c r="H525" s="318"/>
      <c r="I525" s="318"/>
      <c r="J525" s="318"/>
      <c r="K525" s="318"/>
      <c r="L525" s="318"/>
    </row>
    <row r="526" spans="3:12" hidden="1" outlineLevel="1">
      <c r="C526" s="201" t="str">
        <v>SpareOfferC17</v>
      </c>
      <c r="D526" s="318"/>
      <c r="E526" s="318"/>
      <c r="F526" s="318"/>
      <c r="G526" s="318"/>
      <c r="H526" s="318"/>
      <c r="I526" s="318"/>
      <c r="J526" s="318"/>
      <c r="K526" s="318"/>
      <c r="L526" s="318"/>
    </row>
    <row r="527" spans="3:12" hidden="1" outlineLevel="1">
      <c r="C527" s="201" t="str">
        <v>SpareOfferC18</v>
      </c>
      <c r="D527" s="318"/>
      <c r="E527" s="318"/>
      <c r="F527" s="318"/>
      <c r="G527" s="318"/>
      <c r="H527" s="318"/>
      <c r="I527" s="318"/>
      <c r="J527" s="318"/>
      <c r="K527" s="318"/>
      <c r="L527" s="318"/>
    </row>
    <row r="528" spans="3:12" hidden="1" outlineLevel="1">
      <c r="C528" s="201" t="str">
        <v>SpareOfferC19</v>
      </c>
      <c r="D528" s="318"/>
      <c r="E528" s="318"/>
      <c r="F528" s="318"/>
      <c r="G528" s="318"/>
      <c r="H528" s="318"/>
      <c r="I528" s="318"/>
      <c r="J528" s="318"/>
      <c r="K528" s="318"/>
      <c r="L528" s="318"/>
    </row>
    <row r="529" spans="3:12" hidden="1" outlineLevel="1">
      <c r="C529" s="201" t="str">
        <v>SpareOfferC20</v>
      </c>
      <c r="D529" s="318"/>
      <c r="E529" s="318"/>
      <c r="F529" s="318"/>
      <c r="G529" s="318"/>
      <c r="H529" s="318"/>
      <c r="I529" s="318"/>
      <c r="J529" s="318"/>
      <c r="K529" s="318"/>
      <c r="L529" s="318"/>
    </row>
    <row r="530" spans="3:12" hidden="1" outlineLevel="1">
      <c r="C530" s="201" t="str">
        <v>SpareOfferC21</v>
      </c>
      <c r="D530" s="318"/>
      <c r="E530" s="318"/>
      <c r="F530" s="318"/>
      <c r="G530" s="318"/>
      <c r="H530" s="318"/>
      <c r="I530" s="318"/>
      <c r="J530" s="318"/>
      <c r="K530" s="318"/>
      <c r="L530" s="318"/>
    </row>
    <row r="531" spans="3:12" hidden="1" outlineLevel="1">
      <c r="C531" s="201" t="str">
        <v>SpareOfferC22</v>
      </c>
      <c r="D531" s="318"/>
      <c r="E531" s="318"/>
      <c r="F531" s="318"/>
      <c r="G531" s="318"/>
      <c r="H531" s="318"/>
      <c r="I531" s="318"/>
      <c r="J531" s="318"/>
      <c r="K531" s="318"/>
      <c r="L531" s="318"/>
    </row>
    <row r="532" spans="3:12" hidden="1" outlineLevel="1">
      <c r="C532" s="201" t="str">
        <v>SpareOfferC23</v>
      </c>
      <c r="D532" s="318"/>
      <c r="E532" s="318"/>
      <c r="F532" s="318"/>
      <c r="G532" s="318"/>
      <c r="H532" s="318"/>
      <c r="I532" s="318"/>
      <c r="J532" s="318"/>
      <c r="K532" s="318"/>
      <c r="L532" s="318"/>
    </row>
    <row r="533" spans="3:12" hidden="1" outlineLevel="1">
      <c r="C533" s="201" t="str">
        <v>SpareOfferC24</v>
      </c>
      <c r="D533" s="318"/>
      <c r="E533" s="318"/>
      <c r="F533" s="318"/>
      <c r="G533" s="318"/>
      <c r="H533" s="318"/>
      <c r="I533" s="318"/>
      <c r="J533" s="318"/>
      <c r="K533" s="318"/>
      <c r="L533" s="318"/>
    </row>
    <row r="534" spans="3:12" hidden="1" outlineLevel="1">
      <c r="C534" s="201" t="str">
        <v>SpareOfferC25</v>
      </c>
      <c r="D534" s="318"/>
      <c r="E534" s="318"/>
      <c r="F534" s="318"/>
      <c r="G534" s="318"/>
      <c r="H534" s="318"/>
      <c r="I534" s="318"/>
      <c r="J534" s="318"/>
      <c r="K534" s="318"/>
      <c r="L534" s="318"/>
    </row>
    <row r="535" spans="3:12" hidden="1" outlineLevel="1">
      <c r="C535" s="201" t="str">
        <v>SpareOfferC26</v>
      </c>
      <c r="D535" s="318"/>
      <c r="E535" s="318"/>
      <c r="F535" s="318"/>
      <c r="G535" s="318"/>
      <c r="H535" s="318"/>
      <c r="I535" s="318"/>
      <c r="J535" s="318"/>
      <c r="K535" s="318"/>
      <c r="L535" s="318"/>
    </row>
    <row r="536" spans="3:12" hidden="1" outlineLevel="1">
      <c r="C536" s="201" t="str">
        <v>SpareOfferC27</v>
      </c>
      <c r="D536" s="318"/>
      <c r="E536" s="318"/>
      <c r="F536" s="318"/>
      <c r="G536" s="318"/>
      <c r="H536" s="318"/>
      <c r="I536" s="318"/>
      <c r="J536" s="318"/>
      <c r="K536" s="318"/>
      <c r="L536" s="318"/>
    </row>
    <row r="537" spans="3:12" hidden="1" outlineLevel="1">
      <c r="C537" s="201" t="str">
        <v>SpareOfferC28</v>
      </c>
      <c r="D537" s="318"/>
      <c r="E537" s="318"/>
      <c r="F537" s="318"/>
      <c r="G537" s="318"/>
      <c r="H537" s="318"/>
      <c r="I537" s="318"/>
      <c r="J537" s="318"/>
      <c r="K537" s="318"/>
      <c r="L537" s="318"/>
    </row>
    <row r="538" spans="3:12" hidden="1" outlineLevel="1">
      <c r="C538" s="201" t="str">
        <v>SpareOfferC29</v>
      </c>
      <c r="D538" s="318"/>
      <c r="E538" s="318"/>
      <c r="F538" s="318"/>
      <c r="G538" s="318"/>
      <c r="H538" s="318"/>
      <c r="I538" s="318"/>
      <c r="J538" s="318"/>
      <c r="K538" s="318"/>
      <c r="L538" s="318"/>
    </row>
    <row r="539" spans="3:12" hidden="1" outlineLevel="1">
      <c r="C539" s="201" t="str">
        <v>SpareOfferC30</v>
      </c>
      <c r="D539" s="318"/>
      <c r="E539" s="318"/>
      <c r="F539" s="318"/>
      <c r="G539" s="318"/>
      <c r="H539" s="318"/>
      <c r="I539" s="318"/>
      <c r="J539" s="318"/>
      <c r="K539" s="318"/>
      <c r="L539" s="318"/>
    </row>
    <row r="540" spans="3:12" hidden="1" outlineLevel="1">
      <c r="C540" s="201" t="str">
        <v>SpareOfferC31</v>
      </c>
      <c r="D540" s="318"/>
      <c r="E540" s="318"/>
      <c r="F540" s="318"/>
      <c r="G540" s="318"/>
      <c r="H540" s="318"/>
      <c r="I540" s="318"/>
      <c r="J540" s="318"/>
      <c r="K540" s="318"/>
      <c r="L540" s="318"/>
    </row>
    <row r="541" spans="3:12" hidden="1" outlineLevel="1">
      <c r="C541" s="201" t="str">
        <v>SpareOfferC32</v>
      </c>
      <c r="D541" s="318"/>
      <c r="E541" s="318"/>
      <c r="F541" s="318"/>
      <c r="G541" s="318"/>
      <c r="H541" s="318"/>
      <c r="I541" s="318"/>
      <c r="J541" s="318"/>
      <c r="K541" s="318"/>
      <c r="L541" s="318"/>
    </row>
    <row r="542" spans="3:12" hidden="1" outlineLevel="1">
      <c r="C542" s="201" t="str">
        <v>SpareOfferC33</v>
      </c>
      <c r="D542" s="318"/>
      <c r="E542" s="318"/>
      <c r="F542" s="318"/>
      <c r="G542" s="318"/>
      <c r="H542" s="318"/>
      <c r="I542" s="318"/>
      <c r="J542" s="318"/>
      <c r="K542" s="318"/>
      <c r="L542" s="318"/>
    </row>
    <row r="543" spans="3:12" hidden="1" outlineLevel="1">
      <c r="C543" s="201" t="str">
        <v>SpareOfferC34</v>
      </c>
      <c r="D543" s="318"/>
      <c r="E543" s="318"/>
      <c r="F543" s="318"/>
      <c r="G543" s="318"/>
      <c r="H543" s="318"/>
      <c r="I543" s="318"/>
      <c r="J543" s="318"/>
      <c r="K543" s="318"/>
      <c r="L543" s="318"/>
    </row>
    <row r="544" spans="3:12" hidden="1" outlineLevel="1">
      <c r="C544" s="201" t="str">
        <v>SpareOfferC35</v>
      </c>
      <c r="D544" s="318"/>
      <c r="E544" s="318"/>
      <c r="F544" s="318"/>
      <c r="G544" s="318"/>
      <c r="H544" s="318"/>
      <c r="I544" s="318"/>
      <c r="J544" s="318"/>
      <c r="K544" s="318"/>
      <c r="L544" s="318"/>
    </row>
    <row r="545" spans="3:12" hidden="1" outlineLevel="1">
      <c r="C545" s="203" t="str">
        <f t="array" ref="C545:C579">offers.segment.4</f>
        <v>SpareOfferD1</v>
      </c>
      <c r="D545" s="318"/>
      <c r="E545" s="318"/>
      <c r="F545" s="318"/>
      <c r="G545" s="318"/>
      <c r="H545" s="318"/>
      <c r="I545" s="318"/>
      <c r="J545" s="318"/>
      <c r="K545" s="318"/>
      <c r="L545" s="318"/>
    </row>
    <row r="546" spans="3:12" hidden="1" outlineLevel="1">
      <c r="C546" s="203" t="str">
        <v>SpareOfferD2</v>
      </c>
      <c r="D546" s="318"/>
      <c r="E546" s="318"/>
      <c r="F546" s="318"/>
      <c r="G546" s="318"/>
      <c r="H546" s="318"/>
      <c r="I546" s="318"/>
      <c r="J546" s="318"/>
      <c r="K546" s="318"/>
      <c r="L546" s="318"/>
    </row>
    <row r="547" spans="3:12" hidden="1" outlineLevel="1">
      <c r="C547" s="203" t="str">
        <v>SpareOfferD3</v>
      </c>
      <c r="D547" s="318"/>
      <c r="E547" s="318"/>
      <c r="F547" s="318"/>
      <c r="G547" s="318"/>
      <c r="H547" s="318"/>
      <c r="I547" s="318"/>
      <c r="J547" s="318"/>
      <c r="K547" s="318"/>
      <c r="L547" s="318"/>
    </row>
    <row r="548" spans="3:12" hidden="1" outlineLevel="1">
      <c r="C548" s="203" t="str">
        <v>SpareOfferD4</v>
      </c>
      <c r="D548" s="318"/>
      <c r="E548" s="318"/>
      <c r="F548" s="318"/>
      <c r="G548" s="318"/>
      <c r="H548" s="318"/>
      <c r="I548" s="318"/>
      <c r="J548" s="318"/>
      <c r="K548" s="318"/>
      <c r="L548" s="318"/>
    </row>
    <row r="549" spans="3:12" hidden="1" outlineLevel="1">
      <c r="C549" s="203" t="str">
        <v>SpareOfferD5</v>
      </c>
      <c r="D549" s="318"/>
      <c r="E549" s="318"/>
      <c r="F549" s="318"/>
      <c r="G549" s="318"/>
      <c r="H549" s="318"/>
      <c r="I549" s="318"/>
      <c r="J549" s="318"/>
      <c r="K549" s="318"/>
      <c r="L549" s="318"/>
    </row>
    <row r="550" spans="3:12" hidden="1" outlineLevel="1">
      <c r="C550" s="203" t="str">
        <v>SpareOfferD6</v>
      </c>
      <c r="D550" s="318"/>
      <c r="E550" s="318"/>
      <c r="F550" s="318"/>
      <c r="G550" s="318"/>
      <c r="H550" s="318"/>
      <c r="I550" s="318"/>
      <c r="J550" s="318"/>
      <c r="K550" s="318"/>
      <c r="L550" s="318"/>
    </row>
    <row r="551" spans="3:12" hidden="1" outlineLevel="1">
      <c r="C551" s="203" t="str">
        <v>SpareOfferD7</v>
      </c>
      <c r="D551" s="318"/>
      <c r="E551" s="318"/>
      <c r="F551" s="318"/>
      <c r="G551" s="318"/>
      <c r="H551" s="318"/>
      <c r="I551" s="318"/>
      <c r="J551" s="318"/>
      <c r="K551" s="318"/>
      <c r="L551" s="318"/>
    </row>
    <row r="552" spans="3:12" hidden="1" outlineLevel="1">
      <c r="C552" s="203" t="str">
        <v>SpareOfferD8</v>
      </c>
      <c r="D552" s="318"/>
      <c r="E552" s="318"/>
      <c r="F552" s="318"/>
      <c r="G552" s="318"/>
      <c r="H552" s="318"/>
      <c r="I552" s="318"/>
      <c r="J552" s="318"/>
      <c r="K552" s="318"/>
      <c r="L552" s="318"/>
    </row>
    <row r="553" spans="3:12" hidden="1" outlineLevel="1">
      <c r="C553" s="203" t="str">
        <v>SpareOfferD9</v>
      </c>
      <c r="D553" s="318"/>
      <c r="E553" s="318"/>
      <c r="F553" s="318"/>
      <c r="G553" s="318"/>
      <c r="H553" s="318"/>
      <c r="I553" s="318"/>
      <c r="J553" s="318"/>
      <c r="K553" s="318"/>
      <c r="L553" s="318"/>
    </row>
    <row r="554" spans="3:12" hidden="1" outlineLevel="1">
      <c r="C554" s="203" t="str">
        <v>SpareOfferD10</v>
      </c>
      <c r="D554" s="318"/>
      <c r="E554" s="318"/>
      <c r="F554" s="318"/>
      <c r="G554" s="318"/>
      <c r="H554" s="318"/>
      <c r="I554" s="318"/>
      <c r="J554" s="318"/>
      <c r="K554" s="318"/>
      <c r="L554" s="318"/>
    </row>
    <row r="555" spans="3:12" hidden="1" outlineLevel="1">
      <c r="C555" s="203" t="str">
        <v>SpareOfferD11</v>
      </c>
      <c r="D555" s="318"/>
      <c r="E555" s="318"/>
      <c r="F555" s="318"/>
      <c r="G555" s="318"/>
      <c r="H555" s="318"/>
      <c r="I555" s="318"/>
      <c r="J555" s="318"/>
      <c r="K555" s="318"/>
      <c r="L555" s="318"/>
    </row>
    <row r="556" spans="3:12" hidden="1" outlineLevel="1">
      <c r="C556" s="203" t="str">
        <v>SpareOfferD12</v>
      </c>
      <c r="D556" s="318"/>
      <c r="E556" s="318"/>
      <c r="F556" s="318"/>
      <c r="G556" s="318"/>
      <c r="H556" s="318"/>
      <c r="I556" s="318"/>
      <c r="J556" s="318"/>
      <c r="K556" s="318"/>
      <c r="L556" s="318"/>
    </row>
    <row r="557" spans="3:12" hidden="1" outlineLevel="1">
      <c r="C557" s="203" t="str">
        <v>SpareOfferD13</v>
      </c>
      <c r="D557" s="318"/>
      <c r="E557" s="318"/>
      <c r="F557" s="318"/>
      <c r="G557" s="318"/>
      <c r="H557" s="318"/>
      <c r="I557" s="318"/>
      <c r="J557" s="318"/>
      <c r="K557" s="318"/>
      <c r="L557" s="318"/>
    </row>
    <row r="558" spans="3:12" hidden="1" outlineLevel="1">
      <c r="C558" s="203" t="str">
        <v>SpareOfferD14</v>
      </c>
      <c r="D558" s="318"/>
      <c r="E558" s="318"/>
      <c r="F558" s="318"/>
      <c r="G558" s="318"/>
      <c r="H558" s="318"/>
      <c r="I558" s="318"/>
      <c r="J558" s="318"/>
      <c r="K558" s="318"/>
      <c r="L558" s="318"/>
    </row>
    <row r="559" spans="3:12" hidden="1" outlineLevel="1">
      <c r="C559" s="203" t="str">
        <v>SpareOfferD15</v>
      </c>
      <c r="D559" s="318"/>
      <c r="E559" s="318"/>
      <c r="F559" s="318"/>
      <c r="G559" s="318"/>
      <c r="H559" s="318"/>
      <c r="I559" s="318"/>
      <c r="J559" s="318"/>
      <c r="K559" s="318"/>
      <c r="L559" s="318"/>
    </row>
    <row r="560" spans="3:12" hidden="1" outlineLevel="1">
      <c r="C560" s="203" t="str">
        <v>SpareOfferD16</v>
      </c>
      <c r="D560" s="318"/>
      <c r="E560" s="318"/>
      <c r="F560" s="318"/>
      <c r="G560" s="318"/>
      <c r="H560" s="318"/>
      <c r="I560" s="318"/>
      <c r="J560" s="318"/>
      <c r="K560" s="318"/>
      <c r="L560" s="318"/>
    </row>
    <row r="561" spans="3:12" hidden="1" outlineLevel="1">
      <c r="C561" s="203" t="str">
        <v>SpareOfferD17</v>
      </c>
      <c r="D561" s="318"/>
      <c r="E561" s="318"/>
      <c r="F561" s="318"/>
      <c r="G561" s="318"/>
      <c r="H561" s="318"/>
      <c r="I561" s="318"/>
      <c r="J561" s="318"/>
      <c r="K561" s="318"/>
      <c r="L561" s="318"/>
    </row>
    <row r="562" spans="3:12" hidden="1" outlineLevel="1">
      <c r="C562" s="203" t="str">
        <v>SpareOfferD18</v>
      </c>
      <c r="D562" s="318"/>
      <c r="E562" s="318"/>
      <c r="F562" s="318"/>
      <c r="G562" s="318"/>
      <c r="H562" s="318"/>
      <c r="I562" s="318"/>
      <c r="J562" s="318"/>
      <c r="K562" s="318"/>
      <c r="L562" s="318"/>
    </row>
    <row r="563" spans="3:12" hidden="1" outlineLevel="1">
      <c r="C563" s="203" t="str">
        <v>SpareOfferD19</v>
      </c>
      <c r="D563" s="318"/>
      <c r="E563" s="318"/>
      <c r="F563" s="318"/>
      <c r="G563" s="318"/>
      <c r="H563" s="318"/>
      <c r="I563" s="318"/>
      <c r="J563" s="318"/>
      <c r="K563" s="318"/>
      <c r="L563" s="318"/>
    </row>
    <row r="564" spans="3:12" hidden="1" outlineLevel="1">
      <c r="C564" s="203" t="str">
        <v>SpareOfferD20</v>
      </c>
      <c r="D564" s="318"/>
      <c r="E564" s="318"/>
      <c r="F564" s="318"/>
      <c r="G564" s="318"/>
      <c r="H564" s="318"/>
      <c r="I564" s="318"/>
      <c r="J564" s="318"/>
      <c r="K564" s="318"/>
      <c r="L564" s="318"/>
    </row>
    <row r="565" spans="3:12" hidden="1" outlineLevel="1">
      <c r="C565" s="203" t="str">
        <v>SpareOfferD21</v>
      </c>
      <c r="D565" s="318"/>
      <c r="E565" s="318"/>
      <c r="F565" s="318"/>
      <c r="G565" s="318"/>
      <c r="H565" s="318"/>
      <c r="I565" s="318"/>
      <c r="J565" s="318"/>
      <c r="K565" s="318"/>
      <c r="L565" s="318"/>
    </row>
    <row r="566" spans="3:12" hidden="1" outlineLevel="1">
      <c r="C566" s="203" t="str">
        <v>SpareOfferD22</v>
      </c>
      <c r="D566" s="318"/>
      <c r="E566" s="318"/>
      <c r="F566" s="318"/>
      <c r="G566" s="318"/>
      <c r="H566" s="318"/>
      <c r="I566" s="318"/>
      <c r="J566" s="318"/>
      <c r="K566" s="318"/>
      <c r="L566" s="318"/>
    </row>
    <row r="567" spans="3:12" hidden="1" outlineLevel="1">
      <c r="C567" s="203" t="str">
        <v>SpareOfferD23</v>
      </c>
      <c r="D567" s="318"/>
      <c r="E567" s="318"/>
      <c r="F567" s="318"/>
      <c r="G567" s="318"/>
      <c r="H567" s="318"/>
      <c r="I567" s="318"/>
      <c r="J567" s="318"/>
      <c r="K567" s="318"/>
      <c r="L567" s="318"/>
    </row>
    <row r="568" spans="3:12" hidden="1" outlineLevel="1">
      <c r="C568" s="203" t="str">
        <v>SpareOfferD24</v>
      </c>
      <c r="D568" s="318"/>
      <c r="E568" s="318"/>
      <c r="F568" s="318"/>
      <c r="G568" s="318"/>
      <c r="H568" s="318"/>
      <c r="I568" s="318"/>
      <c r="J568" s="318"/>
      <c r="K568" s="318"/>
      <c r="L568" s="318"/>
    </row>
    <row r="569" spans="3:12" hidden="1" outlineLevel="1">
      <c r="C569" s="203" t="str">
        <v>SpareOfferD25</v>
      </c>
      <c r="D569" s="318"/>
      <c r="E569" s="318"/>
      <c r="F569" s="318"/>
      <c r="G569" s="318"/>
      <c r="H569" s="318"/>
      <c r="I569" s="318"/>
      <c r="J569" s="318"/>
      <c r="K569" s="318"/>
      <c r="L569" s="318"/>
    </row>
    <row r="570" spans="3:12" hidden="1" outlineLevel="1">
      <c r="C570" s="203" t="str">
        <v>SpareOfferD26</v>
      </c>
      <c r="D570" s="318"/>
      <c r="E570" s="318"/>
      <c r="F570" s="318"/>
      <c r="G570" s="318"/>
      <c r="H570" s="318"/>
      <c r="I570" s="318"/>
      <c r="J570" s="318"/>
      <c r="K570" s="318"/>
      <c r="L570" s="318"/>
    </row>
    <row r="571" spans="3:12" hidden="1" outlineLevel="1">
      <c r="C571" s="203" t="str">
        <v>SpareOfferD27</v>
      </c>
      <c r="D571" s="318"/>
      <c r="E571" s="318"/>
      <c r="F571" s="318"/>
      <c r="G571" s="318"/>
      <c r="H571" s="318"/>
      <c r="I571" s="318"/>
      <c r="J571" s="318"/>
      <c r="K571" s="318"/>
      <c r="L571" s="318"/>
    </row>
    <row r="572" spans="3:12" hidden="1" outlineLevel="1">
      <c r="C572" s="203" t="str">
        <v>SpareOfferD28</v>
      </c>
      <c r="D572" s="318"/>
      <c r="E572" s="318"/>
      <c r="F572" s="318"/>
      <c r="G572" s="318"/>
      <c r="H572" s="318"/>
      <c r="I572" s="318"/>
      <c r="J572" s="318"/>
      <c r="K572" s="318"/>
      <c r="L572" s="318"/>
    </row>
    <row r="573" spans="3:12" hidden="1" outlineLevel="1">
      <c r="C573" s="203" t="str">
        <v>SpareOfferD29</v>
      </c>
      <c r="D573" s="318"/>
      <c r="E573" s="318"/>
      <c r="F573" s="318"/>
      <c r="G573" s="318"/>
      <c r="H573" s="318"/>
      <c r="I573" s="318"/>
      <c r="J573" s="318"/>
      <c r="K573" s="318"/>
      <c r="L573" s="318"/>
    </row>
    <row r="574" spans="3:12" hidden="1" outlineLevel="1">
      <c r="C574" s="203" t="str">
        <v>SpareOfferD30</v>
      </c>
      <c r="D574" s="318"/>
      <c r="E574" s="318"/>
      <c r="F574" s="318"/>
      <c r="G574" s="318"/>
      <c r="H574" s="318"/>
      <c r="I574" s="318"/>
      <c r="J574" s="318"/>
      <c r="K574" s="318"/>
      <c r="L574" s="318"/>
    </row>
    <row r="575" spans="3:12" hidden="1" outlineLevel="1">
      <c r="C575" s="203" t="str">
        <v>SpareOfferD31</v>
      </c>
      <c r="D575" s="318"/>
      <c r="E575" s="318"/>
      <c r="F575" s="318"/>
      <c r="G575" s="318"/>
      <c r="H575" s="318"/>
      <c r="I575" s="318"/>
      <c r="J575" s="318"/>
      <c r="K575" s="318"/>
      <c r="L575" s="318"/>
    </row>
    <row r="576" spans="3:12" hidden="1" outlineLevel="1">
      <c r="C576" s="203" t="str">
        <v>SpareOfferD32</v>
      </c>
      <c r="D576" s="318"/>
      <c r="E576" s="318"/>
      <c r="F576" s="318"/>
      <c r="G576" s="318"/>
      <c r="H576" s="318"/>
      <c r="I576" s="318"/>
      <c r="J576" s="318"/>
      <c r="K576" s="318"/>
      <c r="L576" s="318"/>
    </row>
    <row r="577" spans="3:13" hidden="1" outlineLevel="1">
      <c r="C577" s="203" t="str">
        <v>SpareOfferD33</v>
      </c>
      <c r="D577" s="318"/>
      <c r="E577" s="318"/>
      <c r="F577" s="318"/>
      <c r="G577" s="318"/>
      <c r="H577" s="318"/>
      <c r="I577" s="318"/>
      <c r="J577" s="318"/>
      <c r="K577" s="318"/>
      <c r="L577" s="318"/>
    </row>
    <row r="578" spans="3:13" hidden="1" outlineLevel="1">
      <c r="C578" s="203" t="str">
        <v>SpareOfferD34</v>
      </c>
      <c r="D578" s="318"/>
      <c r="E578" s="318"/>
      <c r="F578" s="318"/>
      <c r="G578" s="318"/>
      <c r="H578" s="318"/>
      <c r="I578" s="318"/>
      <c r="J578" s="318"/>
      <c r="K578" s="318"/>
      <c r="L578" s="318"/>
    </row>
    <row r="579" spans="3:13" collapsed="1">
      <c r="C579" s="203" t="str">
        <v>-</v>
      </c>
      <c r="D579" s="318"/>
      <c r="E579" s="318"/>
      <c r="F579" s="318"/>
      <c r="G579" s="318"/>
      <c r="H579" s="318"/>
      <c r="I579" s="318"/>
      <c r="J579" s="318"/>
      <c r="K579" s="318"/>
      <c r="L579" s="318"/>
    </row>
    <row r="580" spans="3:13" ht="12">
      <c r="M580" s="43" t="s">
        <v>452</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autoPageBreaks="0"/>
  </sheetPr>
  <dimension ref="B1:AG291"/>
  <sheetViews>
    <sheetView showGridLines="0" defaultGridColor="0" colorId="22" zoomScaleNormal="100" workbookViewId="0">
      <pane xSplit="3" ySplit="2" topLeftCell="D3" activePane="bottomRight" state="frozen"/>
      <selection pane="topRight"/>
      <selection pane="bottomLeft"/>
      <selection pane="bottomRight"/>
    </sheetView>
  </sheetViews>
  <sheetFormatPr baseColWidth="10" defaultColWidth="12.69921875" defaultRowHeight="11.5" outlineLevelRow="1"/>
  <cols>
    <col min="1" max="1" width="6.69921875" customWidth="1"/>
    <col min="2" max="2" width="5.09765625" customWidth="1"/>
    <col min="3" max="3" width="19.69921875" customWidth="1"/>
    <col min="4" max="4" width="24.3984375" customWidth="1"/>
    <col min="6" max="6" width="15.69921875" customWidth="1"/>
    <col min="9" max="13" width="15.59765625" customWidth="1"/>
    <col min="16" max="16" width="15.69921875" customWidth="1"/>
    <col min="17" max="29" width="15.59765625" customWidth="1"/>
    <col min="30" max="30" width="15.8984375" customWidth="1"/>
    <col min="31" max="38" width="12.8984375" bestFit="1" customWidth="1"/>
    <col min="39" max="39" width="17.09765625" bestFit="1" customWidth="1"/>
    <col min="40" max="40" width="15.69921875" bestFit="1" customWidth="1"/>
    <col min="41" max="41" width="12.8984375" bestFit="1" customWidth="1"/>
  </cols>
  <sheetData>
    <row r="1" spans="2:33" s="84" customFormat="1" ht="33.75" customHeight="1">
      <c r="D1" s="84" t="s">
        <v>217</v>
      </c>
    </row>
    <row r="2" spans="2:33">
      <c r="D2" s="91" t="s">
        <v>167</v>
      </c>
    </row>
    <row r="4" spans="2:33" ht="15.5">
      <c r="B4" s="36" t="s">
        <v>369</v>
      </c>
    </row>
    <row r="5" spans="2:33">
      <c r="D5" s="217" t="s">
        <v>462</v>
      </c>
      <c r="E5" s="217"/>
      <c r="F5" s="217"/>
      <c r="G5" s="217"/>
      <c r="H5" s="1"/>
      <c r="I5" s="187" t="s">
        <v>427</v>
      </c>
      <c r="J5" s="187"/>
      <c r="K5" s="187"/>
      <c r="L5" s="187"/>
      <c r="M5" s="187"/>
      <c r="N5" s="188" t="s">
        <v>428</v>
      </c>
      <c r="O5" s="188"/>
      <c r="P5" s="188"/>
      <c r="Q5" s="189" t="s">
        <v>429</v>
      </c>
      <c r="R5" s="189"/>
      <c r="S5" s="189"/>
      <c r="T5" s="189"/>
      <c r="U5" s="189"/>
      <c r="V5" s="189"/>
      <c r="W5" s="189"/>
      <c r="X5" s="189"/>
      <c r="Y5" s="189"/>
      <c r="Z5" s="189"/>
      <c r="AA5" s="189"/>
      <c r="AB5" s="190" t="s">
        <v>430</v>
      </c>
      <c r="AC5" s="190"/>
      <c r="AD5" s="191" t="s">
        <v>139</v>
      </c>
      <c r="AE5" s="191"/>
      <c r="AF5" s="191"/>
    </row>
    <row r="6" spans="2:33" ht="69">
      <c r="C6" s="1" t="s">
        <v>309</v>
      </c>
      <c r="D6" s="218" t="s">
        <v>473</v>
      </c>
      <c r="E6" s="218" t="s">
        <v>468</v>
      </c>
      <c r="F6" s="218" t="s">
        <v>659</v>
      </c>
      <c r="G6" s="218" t="s">
        <v>474</v>
      </c>
      <c r="H6" s="1" t="s">
        <v>885</v>
      </c>
      <c r="I6" s="192" t="s">
        <v>886</v>
      </c>
      <c r="J6" s="192" t="s">
        <v>887</v>
      </c>
      <c r="K6" s="193" t="s">
        <v>888</v>
      </c>
      <c r="L6" s="193" t="s">
        <v>889</v>
      </c>
      <c r="M6" s="194" t="s">
        <v>890</v>
      </c>
      <c r="N6" s="195" t="s">
        <v>891</v>
      </c>
      <c r="O6" s="195" t="s">
        <v>892</v>
      </c>
      <c r="P6" s="195" t="s">
        <v>434</v>
      </c>
      <c r="Q6" s="196" t="s">
        <v>893</v>
      </c>
      <c r="R6" s="196" t="s">
        <v>894</v>
      </c>
      <c r="S6" s="196" t="s">
        <v>895</v>
      </c>
      <c r="T6" s="196" t="s">
        <v>896</v>
      </c>
      <c r="U6" s="197" t="s">
        <v>897</v>
      </c>
      <c r="V6" s="198" t="s">
        <v>898</v>
      </c>
      <c r="W6" s="198" t="s">
        <v>899</v>
      </c>
      <c r="X6" s="198" t="s">
        <v>900</v>
      </c>
      <c r="Y6" s="199" t="s">
        <v>901</v>
      </c>
      <c r="Z6" s="199" t="s">
        <v>902</v>
      </c>
      <c r="AA6" s="199" t="s">
        <v>903</v>
      </c>
      <c r="AB6" s="200" t="s">
        <v>904</v>
      </c>
      <c r="AC6" s="200" t="s">
        <v>905</v>
      </c>
      <c r="AD6" s="191" t="s">
        <v>877</v>
      </c>
      <c r="AE6" s="191" t="s">
        <v>877</v>
      </c>
      <c r="AF6" s="191" t="s">
        <v>877</v>
      </c>
      <c r="AG6" s="43" t="s">
        <v>461</v>
      </c>
    </row>
    <row r="7" spans="2:33">
      <c r="C7" s="201" t="str">
        <f t="array" ref="C7:C41">offers.segment.1</f>
        <v>SpareOfferA1</v>
      </c>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row>
    <row r="8" spans="2:33" hidden="1" outlineLevel="1">
      <c r="C8" s="201" t="str">
        <v>SpareOfferA2</v>
      </c>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row>
    <row r="9" spans="2:33" hidden="1" outlineLevel="1">
      <c r="C9" s="201" t="str">
        <v>SpareOfferA3</v>
      </c>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row>
    <row r="10" spans="2:33" hidden="1" outlineLevel="1">
      <c r="C10" s="201" t="str">
        <v>SpareOfferA4</v>
      </c>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row>
    <row r="11" spans="2:33" hidden="1" outlineLevel="1">
      <c r="C11" s="201" t="str">
        <v>SpareOfferA5</v>
      </c>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row>
    <row r="12" spans="2:33" hidden="1" outlineLevel="1">
      <c r="C12" s="201" t="str">
        <v>SpareOfferA6</v>
      </c>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row>
    <row r="13" spans="2:33" hidden="1" outlineLevel="1">
      <c r="C13" s="201" t="str">
        <v>SpareOfferA7</v>
      </c>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row>
    <row r="14" spans="2:33" hidden="1" outlineLevel="1">
      <c r="C14" s="201" t="str">
        <v>SpareOfferA8</v>
      </c>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row>
    <row r="15" spans="2:33" hidden="1" outlineLevel="1">
      <c r="C15" s="201" t="str">
        <v>SpareOfferA9</v>
      </c>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row>
    <row r="16" spans="2:33" hidden="1" outlineLevel="1">
      <c r="C16" s="201" t="str">
        <v>SpareOfferA10</v>
      </c>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row>
    <row r="17" spans="3:32" hidden="1" outlineLevel="1">
      <c r="C17" s="201" t="str">
        <v>SpareOfferA11</v>
      </c>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row>
    <row r="18" spans="3:32" hidden="1" outlineLevel="1">
      <c r="C18" s="201" t="str">
        <v>SpareOfferA12</v>
      </c>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row>
    <row r="19" spans="3:32" hidden="1" outlineLevel="1">
      <c r="C19" s="201" t="str">
        <v>SpareOfferA13</v>
      </c>
      <c r="D19" s="316"/>
      <c r="E19" s="316"/>
      <c r="F19" s="316"/>
      <c r="G19" s="316"/>
      <c r="H19" s="316"/>
      <c r="I19" s="316"/>
      <c r="J19" s="316"/>
      <c r="K19" s="316"/>
      <c r="L19" s="316"/>
      <c r="M19" s="316"/>
      <c r="N19" s="316"/>
      <c r="O19" s="316"/>
      <c r="P19" s="316"/>
      <c r="Q19" s="316"/>
      <c r="R19" s="316"/>
      <c r="S19" s="316"/>
      <c r="T19" s="316"/>
      <c r="U19" s="316"/>
      <c r="V19" s="316"/>
      <c r="W19" s="316"/>
      <c r="X19" s="316"/>
      <c r="Y19" s="316"/>
      <c r="Z19" s="316"/>
      <c r="AA19" s="316"/>
      <c r="AB19" s="316"/>
      <c r="AC19" s="316"/>
      <c r="AD19" s="316"/>
      <c r="AE19" s="316"/>
      <c r="AF19" s="316"/>
    </row>
    <row r="20" spans="3:32" hidden="1" outlineLevel="1">
      <c r="C20" s="201" t="str">
        <v>SpareOfferA14</v>
      </c>
      <c r="D20" s="316"/>
      <c r="E20" s="316"/>
      <c r="F20" s="316"/>
      <c r="G20" s="316"/>
      <c r="H20" s="316"/>
      <c r="I20" s="316"/>
      <c r="J20" s="316"/>
      <c r="K20" s="316"/>
      <c r="L20" s="316"/>
      <c r="M20" s="316"/>
      <c r="N20" s="316"/>
      <c r="O20" s="316"/>
      <c r="P20" s="316"/>
      <c r="Q20" s="316"/>
      <c r="R20" s="316"/>
      <c r="S20" s="316"/>
      <c r="T20" s="316"/>
      <c r="U20" s="316"/>
      <c r="V20" s="316"/>
      <c r="W20" s="316"/>
      <c r="X20" s="316"/>
      <c r="Y20" s="316"/>
      <c r="Z20" s="316"/>
      <c r="AA20" s="316"/>
      <c r="AB20" s="316"/>
      <c r="AC20" s="316"/>
      <c r="AD20" s="316"/>
      <c r="AE20" s="316"/>
      <c r="AF20" s="316"/>
    </row>
    <row r="21" spans="3:32" hidden="1" outlineLevel="1">
      <c r="C21" s="201" t="str">
        <v>SpareOfferA15</v>
      </c>
      <c r="D21" s="316"/>
      <c r="E21" s="316"/>
      <c r="F21" s="316"/>
      <c r="G21" s="316"/>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row>
    <row r="22" spans="3:32" hidden="1" outlineLevel="1">
      <c r="C22" s="201" t="str">
        <v>SpareOfferA16</v>
      </c>
      <c r="D22" s="316"/>
      <c r="E22" s="316"/>
      <c r="F22" s="316"/>
      <c r="G22" s="316"/>
      <c r="H22" s="316"/>
      <c r="I22" s="316"/>
      <c r="J22" s="316"/>
      <c r="K22" s="316"/>
      <c r="L22" s="316"/>
      <c r="M22" s="316"/>
      <c r="N22" s="316"/>
      <c r="O22" s="316"/>
      <c r="P22" s="316"/>
      <c r="Q22" s="316"/>
      <c r="R22" s="316"/>
      <c r="S22" s="316"/>
      <c r="T22" s="316"/>
      <c r="U22" s="316"/>
      <c r="V22" s="316"/>
      <c r="W22" s="316"/>
      <c r="X22" s="316"/>
      <c r="Y22" s="316"/>
      <c r="Z22" s="316"/>
      <c r="AA22" s="316"/>
      <c r="AB22" s="316"/>
      <c r="AC22" s="316"/>
      <c r="AD22" s="316"/>
      <c r="AE22" s="316"/>
      <c r="AF22" s="316"/>
    </row>
    <row r="23" spans="3:32" hidden="1" outlineLevel="1">
      <c r="C23" s="201" t="str">
        <v>SpareOfferA17</v>
      </c>
      <c r="D23" s="316"/>
      <c r="E23" s="316"/>
      <c r="F23" s="316"/>
      <c r="G23" s="316"/>
      <c r="H23" s="316"/>
      <c r="I23" s="316"/>
      <c r="J23" s="316"/>
      <c r="K23" s="316"/>
      <c r="L23" s="316"/>
      <c r="M23" s="316"/>
      <c r="N23" s="316"/>
      <c r="O23" s="316"/>
      <c r="P23" s="316"/>
      <c r="Q23" s="316"/>
      <c r="R23" s="316"/>
      <c r="S23" s="316"/>
      <c r="T23" s="316"/>
      <c r="U23" s="316"/>
      <c r="V23" s="316"/>
      <c r="W23" s="316"/>
      <c r="X23" s="316"/>
      <c r="Y23" s="316"/>
      <c r="Z23" s="316"/>
      <c r="AA23" s="316"/>
      <c r="AB23" s="316"/>
      <c r="AC23" s="316"/>
      <c r="AD23" s="316"/>
      <c r="AE23" s="316"/>
      <c r="AF23" s="316"/>
    </row>
    <row r="24" spans="3:32" hidden="1" outlineLevel="1">
      <c r="C24" s="201" t="str">
        <v>SpareOfferA18</v>
      </c>
      <c r="D24" s="316"/>
      <c r="E24" s="316"/>
      <c r="F24" s="316"/>
      <c r="G24" s="316"/>
      <c r="H24" s="316"/>
      <c r="I24" s="316"/>
      <c r="J24" s="316"/>
      <c r="K24" s="316"/>
      <c r="L24" s="316"/>
      <c r="M24" s="316"/>
      <c r="N24" s="316"/>
      <c r="O24" s="316"/>
      <c r="P24" s="316"/>
      <c r="Q24" s="316"/>
      <c r="R24" s="316"/>
      <c r="S24" s="316"/>
      <c r="T24" s="316"/>
      <c r="U24" s="316"/>
      <c r="V24" s="316"/>
      <c r="W24" s="316"/>
      <c r="X24" s="316"/>
      <c r="Y24" s="316"/>
      <c r="Z24" s="316"/>
      <c r="AA24" s="316"/>
      <c r="AB24" s="316"/>
      <c r="AC24" s="316"/>
      <c r="AD24" s="316"/>
      <c r="AE24" s="316"/>
      <c r="AF24" s="316"/>
    </row>
    <row r="25" spans="3:32" hidden="1" outlineLevel="1">
      <c r="C25" s="201" t="str">
        <v>SpareOfferA19</v>
      </c>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row>
    <row r="26" spans="3:32" hidden="1" outlineLevel="1">
      <c r="C26" s="201" t="str">
        <v>SpareOfferA20</v>
      </c>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row>
    <row r="27" spans="3:32" hidden="1" outlineLevel="1">
      <c r="C27" s="201" t="str">
        <v>SpareOfferA21</v>
      </c>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row>
    <row r="28" spans="3:32" hidden="1" outlineLevel="1">
      <c r="C28" s="201" t="str">
        <v>SpareOfferA22</v>
      </c>
      <c r="D28" s="316"/>
      <c r="E28" s="316"/>
      <c r="F28" s="316"/>
      <c r="G28" s="316"/>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row>
    <row r="29" spans="3:32" hidden="1" outlineLevel="1">
      <c r="C29" s="201" t="str">
        <v>SpareOfferA23</v>
      </c>
      <c r="D29" s="316"/>
      <c r="E29" s="316"/>
      <c r="F29" s="316"/>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row>
    <row r="30" spans="3:32" hidden="1" outlineLevel="1">
      <c r="C30" s="201" t="str">
        <v>SpareOfferA24</v>
      </c>
      <c r="D30" s="316"/>
      <c r="E30" s="316"/>
      <c r="F30" s="316"/>
      <c r="G30" s="316"/>
      <c r="H30" s="316"/>
      <c r="I30" s="316"/>
      <c r="J30" s="316"/>
      <c r="K30" s="316"/>
      <c r="L30" s="316"/>
      <c r="M30" s="316"/>
      <c r="N30" s="316"/>
      <c r="O30" s="316"/>
      <c r="P30" s="316"/>
      <c r="Q30" s="316"/>
      <c r="R30" s="316"/>
      <c r="S30" s="316"/>
      <c r="T30" s="316"/>
      <c r="U30" s="316"/>
      <c r="V30" s="316"/>
      <c r="W30" s="316"/>
      <c r="X30" s="316"/>
      <c r="Y30" s="316"/>
      <c r="Z30" s="316"/>
      <c r="AA30" s="316"/>
      <c r="AB30" s="316"/>
      <c r="AC30" s="316"/>
      <c r="AD30" s="316"/>
      <c r="AE30" s="316"/>
      <c r="AF30" s="316"/>
    </row>
    <row r="31" spans="3:32" hidden="1" outlineLevel="1">
      <c r="C31" s="201" t="str">
        <v>SpareOfferA25</v>
      </c>
      <c r="D31" s="316"/>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c r="AF31" s="316"/>
    </row>
    <row r="32" spans="3:32" hidden="1" outlineLevel="1">
      <c r="C32" s="201" t="str">
        <v>SpareOfferA26</v>
      </c>
      <c r="D32" s="316"/>
      <c r="E32" s="316"/>
      <c r="F32" s="316"/>
      <c r="G32" s="316"/>
      <c r="H32" s="316"/>
      <c r="I32" s="316"/>
      <c r="J32" s="316"/>
      <c r="K32" s="316"/>
      <c r="L32" s="316"/>
      <c r="M32" s="316"/>
      <c r="N32" s="316"/>
      <c r="O32" s="316"/>
      <c r="P32" s="316"/>
      <c r="Q32" s="316"/>
      <c r="R32" s="316"/>
      <c r="S32" s="316"/>
      <c r="T32" s="316"/>
      <c r="U32" s="316"/>
      <c r="V32" s="316"/>
      <c r="W32" s="316"/>
      <c r="X32" s="316"/>
      <c r="Y32" s="316"/>
      <c r="Z32" s="316"/>
      <c r="AA32" s="316"/>
      <c r="AB32" s="316"/>
      <c r="AC32" s="316"/>
      <c r="AD32" s="316"/>
      <c r="AE32" s="316"/>
      <c r="AF32" s="316"/>
    </row>
    <row r="33" spans="3:32" hidden="1" outlineLevel="1">
      <c r="C33" s="201" t="str">
        <v>SpareOfferA27</v>
      </c>
      <c r="D33" s="316"/>
      <c r="E33" s="316"/>
      <c r="F33" s="316"/>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row>
    <row r="34" spans="3:32" hidden="1" outlineLevel="1">
      <c r="C34" s="201" t="str">
        <v>SpareOfferA28</v>
      </c>
      <c r="D34" s="316"/>
      <c r="E34" s="316"/>
      <c r="F34" s="316"/>
      <c r="G34" s="316"/>
      <c r="H34" s="316"/>
      <c r="I34" s="316"/>
      <c r="J34" s="316"/>
      <c r="K34" s="316"/>
      <c r="L34" s="316"/>
      <c r="M34" s="316"/>
      <c r="N34" s="316"/>
      <c r="O34" s="316"/>
      <c r="P34" s="316"/>
      <c r="Q34" s="316"/>
      <c r="R34" s="316"/>
      <c r="S34" s="316"/>
      <c r="T34" s="316"/>
      <c r="U34" s="316"/>
      <c r="V34" s="316"/>
      <c r="W34" s="316"/>
      <c r="X34" s="316"/>
      <c r="Y34" s="316"/>
      <c r="Z34" s="316"/>
      <c r="AA34" s="316"/>
      <c r="AB34" s="316"/>
      <c r="AC34" s="316"/>
      <c r="AD34" s="316"/>
      <c r="AE34" s="316"/>
      <c r="AF34" s="316"/>
    </row>
    <row r="35" spans="3:32" hidden="1" outlineLevel="1">
      <c r="C35" s="201" t="str">
        <v>SpareOfferA29</v>
      </c>
      <c r="D35" s="316"/>
      <c r="E35" s="316"/>
      <c r="F35" s="316"/>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row>
    <row r="36" spans="3:32" hidden="1" outlineLevel="1">
      <c r="C36" s="201" t="str">
        <v>SpareOfferA30</v>
      </c>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row>
    <row r="37" spans="3:32" hidden="1" outlineLevel="1">
      <c r="C37" s="201" t="str">
        <v>SpareOfferA31</v>
      </c>
      <c r="D37" s="316"/>
      <c r="E37" s="316"/>
      <c r="F37" s="316"/>
      <c r="G37" s="316"/>
      <c r="H37" s="316"/>
      <c r="I37" s="316"/>
      <c r="J37" s="316"/>
      <c r="K37" s="316"/>
      <c r="L37" s="316"/>
      <c r="M37" s="316"/>
      <c r="N37" s="316"/>
      <c r="O37" s="316"/>
      <c r="P37" s="316"/>
      <c r="Q37" s="316"/>
      <c r="R37" s="316"/>
      <c r="S37" s="316"/>
      <c r="T37" s="316"/>
      <c r="U37" s="316"/>
      <c r="V37" s="316"/>
      <c r="W37" s="316"/>
      <c r="X37" s="316"/>
      <c r="Y37" s="316"/>
      <c r="Z37" s="316"/>
      <c r="AA37" s="316"/>
      <c r="AB37" s="316"/>
      <c r="AC37" s="316"/>
      <c r="AD37" s="316"/>
      <c r="AE37" s="316"/>
      <c r="AF37" s="316"/>
    </row>
    <row r="38" spans="3:32" hidden="1" outlineLevel="1">
      <c r="C38" s="201" t="str">
        <v>SpareOfferA32</v>
      </c>
      <c r="D38" s="316"/>
      <c r="E38" s="316"/>
      <c r="F38" s="316"/>
      <c r="G38" s="316"/>
      <c r="H38" s="316"/>
      <c r="I38" s="316"/>
      <c r="J38" s="316"/>
      <c r="K38" s="316"/>
      <c r="L38" s="316"/>
      <c r="M38" s="316"/>
      <c r="N38" s="316"/>
      <c r="O38" s="316"/>
      <c r="P38" s="316"/>
      <c r="Q38" s="316"/>
      <c r="R38" s="316"/>
      <c r="S38" s="316"/>
      <c r="T38" s="316"/>
      <c r="U38" s="316"/>
      <c r="V38" s="316"/>
      <c r="W38" s="316"/>
      <c r="X38" s="316"/>
      <c r="Y38" s="316"/>
      <c r="Z38" s="316"/>
      <c r="AA38" s="316"/>
      <c r="AB38" s="316"/>
      <c r="AC38" s="316"/>
      <c r="AD38" s="316"/>
      <c r="AE38" s="316"/>
      <c r="AF38" s="316"/>
    </row>
    <row r="39" spans="3:32" hidden="1" outlineLevel="1">
      <c r="C39" s="201" t="str">
        <v>SpareOfferA33</v>
      </c>
      <c r="D39" s="316"/>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row>
    <row r="40" spans="3:32" hidden="1" outlineLevel="1">
      <c r="C40" s="201" t="str">
        <v>SpareOfferA34</v>
      </c>
      <c r="D40" s="316"/>
      <c r="E40" s="316"/>
      <c r="F40" s="316"/>
      <c r="G40" s="316"/>
      <c r="H40" s="316"/>
      <c r="I40" s="316"/>
      <c r="J40" s="316"/>
      <c r="K40" s="316"/>
      <c r="L40" s="316"/>
      <c r="M40" s="316"/>
      <c r="N40" s="316"/>
      <c r="O40" s="316"/>
      <c r="P40" s="316"/>
      <c r="Q40" s="316"/>
      <c r="R40" s="316"/>
      <c r="S40" s="316"/>
      <c r="T40" s="316"/>
      <c r="U40" s="316"/>
      <c r="V40" s="316"/>
      <c r="W40" s="316"/>
      <c r="X40" s="316"/>
      <c r="Y40" s="316"/>
      <c r="Z40" s="316"/>
      <c r="AA40" s="316"/>
      <c r="AB40" s="316"/>
      <c r="AC40" s="316"/>
      <c r="AD40" s="316"/>
      <c r="AE40" s="316"/>
      <c r="AF40" s="316"/>
    </row>
    <row r="41" spans="3:32" hidden="1" outlineLevel="1">
      <c r="C41" s="201" t="str">
        <v>SpareOfferA35</v>
      </c>
      <c r="D41" s="316"/>
      <c r="E41" s="316"/>
      <c r="F41" s="316"/>
      <c r="G41" s="316"/>
      <c r="H41" s="316"/>
      <c r="I41" s="316"/>
      <c r="J41" s="316"/>
      <c r="K41" s="316"/>
      <c r="L41" s="316"/>
      <c r="M41" s="316"/>
      <c r="N41" s="316"/>
      <c r="O41" s="316"/>
      <c r="P41" s="316"/>
      <c r="Q41" s="316"/>
      <c r="R41" s="316"/>
      <c r="S41" s="316"/>
      <c r="T41" s="316"/>
      <c r="U41" s="316"/>
      <c r="V41" s="316"/>
      <c r="W41" s="316"/>
      <c r="X41" s="316"/>
      <c r="Y41" s="316"/>
      <c r="Z41" s="316"/>
      <c r="AA41" s="316"/>
      <c r="AB41" s="316"/>
      <c r="AC41" s="316"/>
      <c r="AD41" s="316"/>
      <c r="AE41" s="316"/>
      <c r="AF41" s="316"/>
    </row>
    <row r="42" spans="3:32" hidden="1" outlineLevel="1">
      <c r="C42" s="203" t="str">
        <f t="array" ref="C42:C76">offers.segment.2</f>
        <v>SpareOfferB1</v>
      </c>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row>
    <row r="43" spans="3:32" hidden="1" outlineLevel="1">
      <c r="C43" s="203" t="str">
        <v>SpareOfferB2</v>
      </c>
      <c r="D43" s="316"/>
      <c r="E43" s="316"/>
      <c r="F43" s="316"/>
      <c r="G43" s="316"/>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row>
    <row r="44" spans="3:32" hidden="1" outlineLevel="1">
      <c r="C44" s="203" t="str">
        <v>SpareOfferB3</v>
      </c>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row>
    <row r="45" spans="3:32" hidden="1" outlineLevel="1">
      <c r="C45" s="203" t="str">
        <v>SpareOfferB4</v>
      </c>
      <c r="D45" s="316"/>
      <c r="E45" s="316"/>
      <c r="F45" s="316"/>
      <c r="G45" s="316"/>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c r="AF45" s="316"/>
    </row>
    <row r="46" spans="3:32" hidden="1" outlineLevel="1">
      <c r="C46" s="203" t="str">
        <v>SpareOfferB5</v>
      </c>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row>
    <row r="47" spans="3:32" hidden="1" outlineLevel="1">
      <c r="C47" s="203" t="str">
        <v>SpareOfferB6</v>
      </c>
      <c r="D47" s="316"/>
      <c r="E47" s="316"/>
      <c r="F47" s="316"/>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row>
    <row r="48" spans="3:32" hidden="1" outlineLevel="1">
      <c r="C48" s="203" t="str">
        <v>SpareOfferB7</v>
      </c>
      <c r="D48" s="316"/>
      <c r="E48" s="316"/>
      <c r="F48" s="316"/>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row>
    <row r="49" spans="3:32" hidden="1" outlineLevel="1">
      <c r="C49" s="203" t="str">
        <v>SpareOfferB8</v>
      </c>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row>
    <row r="50" spans="3:32" hidden="1" outlineLevel="1">
      <c r="C50" s="203" t="str">
        <v>SpareOfferB9</v>
      </c>
      <c r="D50" s="316"/>
      <c r="E50" s="316"/>
      <c r="F50" s="316"/>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row>
    <row r="51" spans="3:32" hidden="1" outlineLevel="1">
      <c r="C51" s="203" t="str">
        <v>SpareOfferB10</v>
      </c>
      <c r="D51" s="316"/>
      <c r="E51" s="316"/>
      <c r="F51" s="316"/>
      <c r="G51" s="316"/>
      <c r="H51" s="316"/>
      <c r="I51" s="316"/>
      <c r="J51" s="316"/>
      <c r="K51" s="316"/>
      <c r="L51" s="316"/>
      <c r="M51" s="316"/>
      <c r="N51" s="316"/>
      <c r="O51" s="316"/>
      <c r="P51" s="316"/>
      <c r="Q51" s="316"/>
      <c r="R51" s="316"/>
      <c r="S51" s="316"/>
      <c r="T51" s="316"/>
      <c r="U51" s="316"/>
      <c r="V51" s="316"/>
      <c r="W51" s="316"/>
      <c r="X51" s="316"/>
      <c r="Y51" s="316"/>
      <c r="Z51" s="316"/>
      <c r="AA51" s="316"/>
      <c r="AB51" s="316"/>
      <c r="AC51" s="316"/>
      <c r="AD51" s="316"/>
      <c r="AE51" s="316"/>
      <c r="AF51" s="316"/>
    </row>
    <row r="52" spans="3:32" hidden="1" outlineLevel="1">
      <c r="C52" s="203" t="str">
        <v>SpareOfferB11</v>
      </c>
      <c r="D52" s="316"/>
      <c r="E52" s="316"/>
      <c r="F52" s="316"/>
      <c r="G52" s="316"/>
      <c r="H52" s="316"/>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row>
    <row r="53" spans="3:32" hidden="1" outlineLevel="1">
      <c r="C53" s="203" t="str">
        <v>SpareOfferB12</v>
      </c>
      <c r="D53" s="316"/>
      <c r="E53" s="316"/>
      <c r="F53" s="316"/>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row>
    <row r="54" spans="3:32" hidden="1" outlineLevel="1">
      <c r="C54" s="203" t="str">
        <v>SpareOfferB13</v>
      </c>
      <c r="D54" s="316"/>
      <c r="E54" s="316"/>
      <c r="F54" s="316"/>
      <c r="G54" s="316"/>
      <c r="H54" s="316"/>
      <c r="I54" s="316"/>
      <c r="J54" s="316"/>
      <c r="K54" s="316"/>
      <c r="L54" s="316"/>
      <c r="M54" s="316"/>
      <c r="N54" s="316"/>
      <c r="O54" s="316"/>
      <c r="P54" s="316"/>
      <c r="Q54" s="316"/>
      <c r="R54" s="316"/>
      <c r="S54" s="316"/>
      <c r="T54" s="316"/>
      <c r="U54" s="316"/>
      <c r="V54" s="316"/>
      <c r="W54" s="316"/>
      <c r="X54" s="316"/>
      <c r="Y54" s="316"/>
      <c r="Z54" s="316"/>
      <c r="AA54" s="316"/>
      <c r="AB54" s="316"/>
      <c r="AC54" s="316"/>
      <c r="AD54" s="316"/>
      <c r="AE54" s="316"/>
      <c r="AF54" s="316"/>
    </row>
    <row r="55" spans="3:32" hidden="1" outlineLevel="1">
      <c r="C55" s="203" t="str">
        <v>SpareOfferB14</v>
      </c>
      <c r="D55" s="316"/>
      <c r="E55" s="316"/>
      <c r="F55" s="316"/>
      <c r="G55" s="316"/>
      <c r="H55" s="316"/>
      <c r="I55" s="316"/>
      <c r="J55" s="316"/>
      <c r="K55" s="316"/>
      <c r="L55" s="316"/>
      <c r="M55" s="316"/>
      <c r="N55" s="316"/>
      <c r="O55" s="316"/>
      <c r="P55" s="316"/>
      <c r="Q55" s="316"/>
      <c r="R55" s="316"/>
      <c r="S55" s="316"/>
      <c r="T55" s="316"/>
      <c r="U55" s="316"/>
      <c r="V55" s="316"/>
      <c r="W55" s="316"/>
      <c r="X55" s="316"/>
      <c r="Y55" s="316"/>
      <c r="Z55" s="316"/>
      <c r="AA55" s="316"/>
      <c r="AB55" s="316"/>
      <c r="AC55" s="316"/>
      <c r="AD55" s="316"/>
      <c r="AE55" s="316"/>
      <c r="AF55" s="316"/>
    </row>
    <row r="56" spans="3:32" hidden="1" outlineLevel="1">
      <c r="C56" s="203" t="str">
        <v>SpareOfferB15</v>
      </c>
      <c r="D56" s="316"/>
      <c r="E56" s="316"/>
      <c r="F56" s="316"/>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row>
    <row r="57" spans="3:32" hidden="1" outlineLevel="1">
      <c r="C57" s="203" t="str">
        <v>SpareOfferB16</v>
      </c>
      <c r="D57" s="316"/>
      <c r="E57" s="316"/>
      <c r="F57" s="316"/>
      <c r="G57" s="316"/>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row>
    <row r="58" spans="3:32" hidden="1" outlineLevel="1">
      <c r="C58" s="203" t="str">
        <v>SpareOfferB17</v>
      </c>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c r="AD58" s="316"/>
      <c r="AE58" s="316"/>
      <c r="AF58" s="316"/>
    </row>
    <row r="59" spans="3:32" hidden="1" outlineLevel="1">
      <c r="C59" s="203" t="str">
        <v>SpareOfferB18</v>
      </c>
      <c r="D59" s="316"/>
      <c r="E59" s="316"/>
      <c r="F59" s="316"/>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c r="AD59" s="316"/>
      <c r="AE59" s="316"/>
      <c r="AF59" s="316"/>
    </row>
    <row r="60" spans="3:32" hidden="1" outlineLevel="1">
      <c r="C60" s="203" t="str">
        <v>SpareOfferB19</v>
      </c>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row>
    <row r="61" spans="3:32" hidden="1" outlineLevel="1">
      <c r="C61" s="203" t="str">
        <v>SpareOfferB20</v>
      </c>
      <c r="D61" s="316"/>
      <c r="E61" s="316"/>
      <c r="F61" s="316"/>
      <c r="G61" s="316"/>
      <c r="H61" s="316"/>
      <c r="I61" s="316"/>
      <c r="J61" s="316"/>
      <c r="K61" s="316"/>
      <c r="L61" s="316"/>
      <c r="M61" s="316"/>
      <c r="N61" s="316"/>
      <c r="O61" s="316"/>
      <c r="P61" s="316"/>
      <c r="Q61" s="316"/>
      <c r="R61" s="316"/>
      <c r="S61" s="316"/>
      <c r="T61" s="316"/>
      <c r="U61" s="316"/>
      <c r="V61" s="316"/>
      <c r="W61" s="316"/>
      <c r="X61" s="316"/>
      <c r="Y61" s="316"/>
      <c r="Z61" s="316"/>
      <c r="AA61" s="316"/>
      <c r="AB61" s="316"/>
      <c r="AC61" s="316"/>
      <c r="AD61" s="316"/>
      <c r="AE61" s="316"/>
      <c r="AF61" s="316"/>
    </row>
    <row r="62" spans="3:32" hidden="1" outlineLevel="1">
      <c r="C62" s="203" t="str">
        <v>SpareOfferB21</v>
      </c>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row>
    <row r="63" spans="3:32" hidden="1" outlineLevel="1">
      <c r="C63" s="203" t="str">
        <v>SpareOfferB22</v>
      </c>
      <c r="D63" s="316"/>
      <c r="E63" s="316"/>
      <c r="F63" s="316"/>
      <c r="G63" s="316"/>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row>
    <row r="64" spans="3:32" hidden="1" outlineLevel="1">
      <c r="C64" s="203" t="str">
        <v>SpareOfferB23</v>
      </c>
      <c r="D64" s="316"/>
      <c r="E64" s="316"/>
      <c r="F64" s="316"/>
      <c r="G64" s="316"/>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row>
    <row r="65" spans="3:32" hidden="1" outlineLevel="1">
      <c r="C65" s="203" t="str">
        <v>SpareOfferB24</v>
      </c>
      <c r="D65" s="316"/>
      <c r="E65" s="316"/>
      <c r="F65" s="316"/>
      <c r="G65" s="316"/>
      <c r="H65" s="316"/>
      <c r="I65" s="316"/>
      <c r="J65" s="316"/>
      <c r="K65" s="316"/>
      <c r="L65" s="316"/>
      <c r="M65" s="316"/>
      <c r="N65" s="316"/>
      <c r="O65" s="316"/>
      <c r="P65" s="316"/>
      <c r="Q65" s="316"/>
      <c r="R65" s="316"/>
      <c r="S65" s="316"/>
      <c r="T65" s="316"/>
      <c r="U65" s="316"/>
      <c r="V65" s="316"/>
      <c r="W65" s="316"/>
      <c r="X65" s="316"/>
      <c r="Y65" s="316"/>
      <c r="Z65" s="316"/>
      <c r="AA65" s="316"/>
      <c r="AB65" s="316"/>
      <c r="AC65" s="316"/>
      <c r="AD65" s="316"/>
      <c r="AE65" s="316"/>
      <c r="AF65" s="316"/>
    </row>
    <row r="66" spans="3:32" hidden="1" outlineLevel="1">
      <c r="C66" s="203" t="str">
        <v>SpareOfferB25</v>
      </c>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row>
    <row r="67" spans="3:32" hidden="1" outlineLevel="1">
      <c r="C67" s="203" t="str">
        <v>SpareOfferB26</v>
      </c>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row>
    <row r="68" spans="3:32" hidden="1" outlineLevel="1">
      <c r="C68" s="203" t="str">
        <v>SpareOfferB27</v>
      </c>
      <c r="D68" s="316"/>
      <c r="E68" s="316"/>
      <c r="F68" s="316"/>
      <c r="G68" s="316"/>
      <c r="H68" s="316"/>
      <c r="I68" s="316"/>
      <c r="J68" s="316"/>
      <c r="K68" s="316"/>
      <c r="L68" s="316"/>
      <c r="M68" s="316"/>
      <c r="N68" s="316"/>
      <c r="O68" s="316"/>
      <c r="P68" s="316"/>
      <c r="Q68" s="316"/>
      <c r="R68" s="316"/>
      <c r="S68" s="316"/>
      <c r="T68" s="316"/>
      <c r="U68" s="316"/>
      <c r="V68" s="316"/>
      <c r="W68" s="316"/>
      <c r="X68" s="316"/>
      <c r="Y68" s="316"/>
      <c r="Z68" s="316"/>
      <c r="AA68" s="316"/>
      <c r="AB68" s="316"/>
      <c r="AC68" s="316"/>
      <c r="AD68" s="316"/>
      <c r="AE68" s="316"/>
      <c r="AF68" s="316"/>
    </row>
    <row r="69" spans="3:32" hidden="1" outlineLevel="1">
      <c r="C69" s="203" t="str">
        <v>SpareOfferB28</v>
      </c>
      <c r="D69" s="316"/>
      <c r="E69" s="316"/>
      <c r="F69" s="316"/>
      <c r="G69" s="316"/>
      <c r="H69" s="316"/>
      <c r="I69" s="316"/>
      <c r="J69" s="316"/>
      <c r="K69" s="316"/>
      <c r="L69" s="316"/>
      <c r="M69" s="316"/>
      <c r="N69" s="316"/>
      <c r="O69" s="316"/>
      <c r="P69" s="316"/>
      <c r="Q69" s="316"/>
      <c r="R69" s="316"/>
      <c r="S69" s="316"/>
      <c r="T69" s="316"/>
      <c r="U69" s="316"/>
      <c r="V69" s="316"/>
      <c r="W69" s="316"/>
      <c r="X69" s="316"/>
      <c r="Y69" s="316"/>
      <c r="Z69" s="316"/>
      <c r="AA69" s="316"/>
      <c r="AB69" s="316"/>
      <c r="AC69" s="316"/>
      <c r="AD69" s="316"/>
      <c r="AE69" s="316"/>
      <c r="AF69" s="316"/>
    </row>
    <row r="70" spans="3:32" hidden="1" outlineLevel="1">
      <c r="C70" s="203" t="str">
        <v>SpareOfferB29</v>
      </c>
      <c r="D70" s="316"/>
      <c r="E70" s="316"/>
      <c r="F70" s="316"/>
      <c r="G70" s="316"/>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row>
    <row r="71" spans="3:32" hidden="1" outlineLevel="1">
      <c r="C71" s="203" t="str">
        <v>SpareOfferB30</v>
      </c>
      <c r="D71" s="316"/>
      <c r="E71" s="316"/>
      <c r="F71" s="316"/>
      <c r="G71" s="316"/>
      <c r="H71" s="316"/>
      <c r="I71" s="316"/>
      <c r="J71" s="316"/>
      <c r="K71" s="316"/>
      <c r="L71" s="316"/>
      <c r="M71" s="316"/>
      <c r="N71" s="316"/>
      <c r="O71" s="316"/>
      <c r="P71" s="316"/>
      <c r="Q71" s="316"/>
      <c r="R71" s="316"/>
      <c r="S71" s="316"/>
      <c r="T71" s="316"/>
      <c r="U71" s="316"/>
      <c r="V71" s="316"/>
      <c r="W71" s="316"/>
      <c r="X71" s="316"/>
      <c r="Y71" s="316"/>
      <c r="Z71" s="316"/>
      <c r="AA71" s="316"/>
      <c r="AB71" s="316"/>
      <c r="AC71" s="316"/>
      <c r="AD71" s="316"/>
      <c r="AE71" s="316"/>
      <c r="AF71" s="316"/>
    </row>
    <row r="72" spans="3:32" hidden="1" outlineLevel="1">
      <c r="C72" s="203" t="str">
        <v>SpareOfferB31</v>
      </c>
      <c r="D72" s="316"/>
      <c r="E72" s="316"/>
      <c r="F72" s="316"/>
      <c r="G72" s="316"/>
      <c r="H72" s="316"/>
      <c r="I72" s="316"/>
      <c r="J72" s="316"/>
      <c r="K72" s="316"/>
      <c r="L72" s="316"/>
      <c r="M72" s="316"/>
      <c r="N72" s="316"/>
      <c r="O72" s="316"/>
      <c r="P72" s="316"/>
      <c r="Q72" s="316"/>
      <c r="R72" s="316"/>
      <c r="S72" s="316"/>
      <c r="T72" s="316"/>
      <c r="U72" s="316"/>
      <c r="V72" s="316"/>
      <c r="W72" s="316"/>
      <c r="X72" s="316"/>
      <c r="Y72" s="316"/>
      <c r="Z72" s="316"/>
      <c r="AA72" s="316"/>
      <c r="AB72" s="316"/>
      <c r="AC72" s="316"/>
      <c r="AD72" s="316"/>
      <c r="AE72" s="316"/>
      <c r="AF72" s="316"/>
    </row>
    <row r="73" spans="3:32" hidden="1" outlineLevel="1">
      <c r="C73" s="203" t="str">
        <v>SpareOfferB32</v>
      </c>
      <c r="D73" s="316"/>
      <c r="E73" s="316"/>
      <c r="F73" s="316"/>
      <c r="G73" s="316"/>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row>
    <row r="74" spans="3:32" hidden="1" outlineLevel="1">
      <c r="C74" s="203" t="str">
        <v>SpareOfferB33</v>
      </c>
      <c r="D74" s="316"/>
      <c r="E74" s="316"/>
      <c r="F74" s="316"/>
      <c r="G74" s="316"/>
      <c r="H74" s="316"/>
      <c r="I74" s="316"/>
      <c r="J74" s="316"/>
      <c r="K74" s="316"/>
      <c r="L74" s="316"/>
      <c r="M74" s="316"/>
      <c r="N74" s="316"/>
      <c r="O74" s="316"/>
      <c r="P74" s="316"/>
      <c r="Q74" s="316"/>
      <c r="R74" s="316"/>
      <c r="S74" s="316"/>
      <c r="T74" s="316"/>
      <c r="U74" s="316"/>
      <c r="V74" s="316"/>
      <c r="W74" s="316"/>
      <c r="X74" s="316"/>
      <c r="Y74" s="316"/>
      <c r="Z74" s="316"/>
      <c r="AA74" s="316"/>
      <c r="AB74" s="316"/>
      <c r="AC74" s="316"/>
      <c r="AD74" s="316"/>
      <c r="AE74" s="316"/>
      <c r="AF74" s="316"/>
    </row>
    <row r="75" spans="3:32" hidden="1" outlineLevel="1">
      <c r="C75" s="203" t="str">
        <v>SpareOfferB34</v>
      </c>
      <c r="D75" s="316"/>
      <c r="E75" s="316"/>
      <c r="F75" s="316"/>
      <c r="G75" s="316"/>
      <c r="H75" s="316"/>
      <c r="I75" s="316"/>
      <c r="J75" s="316"/>
      <c r="K75" s="316"/>
      <c r="L75" s="316"/>
      <c r="M75" s="316"/>
      <c r="N75" s="316"/>
      <c r="O75" s="316"/>
      <c r="P75" s="316"/>
      <c r="Q75" s="316"/>
      <c r="R75" s="316"/>
      <c r="S75" s="316"/>
      <c r="T75" s="316"/>
      <c r="U75" s="316"/>
      <c r="V75" s="316"/>
      <c r="W75" s="316"/>
      <c r="X75" s="316"/>
      <c r="Y75" s="316"/>
      <c r="Z75" s="316"/>
      <c r="AA75" s="316"/>
      <c r="AB75" s="316"/>
      <c r="AC75" s="316"/>
      <c r="AD75" s="316"/>
      <c r="AE75" s="316"/>
      <c r="AF75" s="316"/>
    </row>
    <row r="76" spans="3:32" hidden="1" outlineLevel="1">
      <c r="C76" s="203" t="str">
        <v>SpareOfferB35</v>
      </c>
      <c r="D76" s="316"/>
      <c r="E76" s="316"/>
      <c r="F76" s="316"/>
      <c r="G76" s="316"/>
      <c r="H76" s="316"/>
      <c r="I76" s="316"/>
      <c r="J76" s="316"/>
      <c r="K76" s="316"/>
      <c r="L76" s="316"/>
      <c r="M76" s="316"/>
      <c r="N76" s="316"/>
      <c r="O76" s="316"/>
      <c r="P76" s="316"/>
      <c r="Q76" s="316"/>
      <c r="R76" s="316"/>
      <c r="S76" s="316"/>
      <c r="T76" s="316"/>
      <c r="U76" s="316"/>
      <c r="V76" s="316"/>
      <c r="W76" s="316"/>
      <c r="X76" s="316"/>
      <c r="Y76" s="316"/>
      <c r="Z76" s="316"/>
      <c r="AA76" s="316"/>
      <c r="AB76" s="316"/>
      <c r="AC76" s="316"/>
      <c r="AD76" s="316"/>
      <c r="AE76" s="316"/>
      <c r="AF76" s="316"/>
    </row>
    <row r="77" spans="3:32" hidden="1" outlineLevel="1">
      <c r="C77" s="201" t="str">
        <f t="array" ref="C77:C111">offers.segment.3</f>
        <v>SpareOfferC1</v>
      </c>
      <c r="D77" s="316"/>
      <c r="E77" s="316"/>
      <c r="F77" s="316"/>
      <c r="G77" s="316"/>
      <c r="H77" s="316"/>
      <c r="I77" s="316"/>
      <c r="J77" s="316"/>
      <c r="K77" s="316"/>
      <c r="L77" s="316"/>
      <c r="M77" s="316"/>
      <c r="N77" s="316"/>
      <c r="O77" s="316"/>
      <c r="P77" s="316"/>
      <c r="Q77" s="316"/>
      <c r="R77" s="316"/>
      <c r="S77" s="316"/>
      <c r="T77" s="316"/>
      <c r="U77" s="316"/>
      <c r="V77" s="316"/>
      <c r="W77" s="316"/>
      <c r="X77" s="316"/>
      <c r="Y77" s="316"/>
      <c r="Z77" s="316"/>
      <c r="AA77" s="316"/>
      <c r="AB77" s="316"/>
      <c r="AC77" s="316"/>
      <c r="AD77" s="316"/>
      <c r="AE77" s="316"/>
      <c r="AF77" s="316"/>
    </row>
    <row r="78" spans="3:32" hidden="1" outlineLevel="1">
      <c r="C78" s="201" t="str">
        <v>SpareOfferC2</v>
      </c>
      <c r="D78" s="316"/>
      <c r="E78" s="316"/>
      <c r="F78" s="316"/>
      <c r="G78" s="316"/>
      <c r="H78" s="316"/>
      <c r="I78" s="316"/>
      <c r="J78" s="316"/>
      <c r="K78" s="316"/>
      <c r="L78" s="316"/>
      <c r="M78" s="316"/>
      <c r="N78" s="316"/>
      <c r="O78" s="316"/>
      <c r="P78" s="316"/>
      <c r="Q78" s="316"/>
      <c r="R78" s="316"/>
      <c r="S78" s="316"/>
      <c r="T78" s="316"/>
      <c r="U78" s="316"/>
      <c r="V78" s="316"/>
      <c r="W78" s="316"/>
      <c r="X78" s="316"/>
      <c r="Y78" s="316"/>
      <c r="Z78" s="316"/>
      <c r="AA78" s="316"/>
      <c r="AB78" s="316"/>
      <c r="AC78" s="316"/>
      <c r="AD78" s="316"/>
      <c r="AE78" s="316"/>
      <c r="AF78" s="316"/>
    </row>
    <row r="79" spans="3:32" hidden="1" outlineLevel="1">
      <c r="C79" s="201" t="str">
        <v>SpareOfferC3</v>
      </c>
      <c r="D79" s="316"/>
      <c r="E79" s="316"/>
      <c r="F79" s="316"/>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row>
    <row r="80" spans="3:32" hidden="1" outlineLevel="1">
      <c r="C80" s="201" t="str">
        <v>SpareOfferC4</v>
      </c>
      <c r="D80" s="316"/>
      <c r="E80" s="316"/>
      <c r="F80" s="316"/>
      <c r="G80" s="316"/>
      <c r="H80" s="316"/>
      <c r="I80" s="316"/>
      <c r="J80" s="316"/>
      <c r="K80" s="316"/>
      <c r="L80" s="316"/>
      <c r="M80" s="316"/>
      <c r="N80" s="316"/>
      <c r="O80" s="316"/>
      <c r="P80" s="316"/>
      <c r="Q80" s="316"/>
      <c r="R80" s="316"/>
      <c r="S80" s="316"/>
      <c r="T80" s="316"/>
      <c r="U80" s="316"/>
      <c r="V80" s="316"/>
      <c r="W80" s="316"/>
      <c r="X80" s="316"/>
      <c r="Y80" s="316"/>
      <c r="Z80" s="316"/>
      <c r="AA80" s="316"/>
      <c r="AB80" s="316"/>
      <c r="AC80" s="316"/>
      <c r="AD80" s="316"/>
      <c r="AE80" s="316"/>
      <c r="AF80" s="316"/>
    </row>
    <row r="81" spans="3:32" hidden="1" outlineLevel="1">
      <c r="C81" s="201" t="str">
        <v>SpareOfferC5</v>
      </c>
      <c r="D81" s="316"/>
      <c r="E81" s="316"/>
      <c r="F81" s="316"/>
      <c r="G81" s="316"/>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row>
    <row r="82" spans="3:32" hidden="1" outlineLevel="1">
      <c r="C82" s="201" t="str">
        <v>SpareOfferC6</v>
      </c>
      <c r="D82" s="316"/>
      <c r="E82" s="316"/>
      <c r="F82" s="316"/>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row>
    <row r="83" spans="3:32" hidden="1" outlineLevel="1">
      <c r="C83" s="201" t="str">
        <v>SpareOfferC7</v>
      </c>
      <c r="D83" s="316"/>
      <c r="E83" s="316"/>
      <c r="F83" s="316"/>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row>
    <row r="84" spans="3:32" hidden="1" outlineLevel="1">
      <c r="C84" s="201" t="str">
        <v>SpareOfferC8</v>
      </c>
      <c r="D84" s="316"/>
      <c r="E84" s="316"/>
      <c r="F84" s="316"/>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row>
    <row r="85" spans="3:32" hidden="1" outlineLevel="1">
      <c r="C85" s="201" t="str">
        <v>SpareOfferC9</v>
      </c>
      <c r="D85" s="316"/>
      <c r="E85" s="316"/>
      <c r="F85" s="316"/>
      <c r="G85" s="316"/>
      <c r="H85" s="316"/>
      <c r="I85" s="316"/>
      <c r="J85" s="316"/>
      <c r="K85" s="316"/>
      <c r="L85" s="316"/>
      <c r="M85" s="316"/>
      <c r="N85" s="316"/>
      <c r="O85" s="316"/>
      <c r="P85" s="316"/>
      <c r="Q85" s="316"/>
      <c r="R85" s="316"/>
      <c r="S85" s="316"/>
      <c r="T85" s="316"/>
      <c r="U85" s="316"/>
      <c r="V85" s="316"/>
      <c r="W85" s="316"/>
      <c r="X85" s="316"/>
      <c r="Y85" s="316"/>
      <c r="Z85" s="316"/>
      <c r="AA85" s="316"/>
      <c r="AB85" s="316"/>
      <c r="AC85" s="316"/>
      <c r="AD85" s="316"/>
      <c r="AE85" s="316"/>
      <c r="AF85" s="316"/>
    </row>
    <row r="86" spans="3:32" hidden="1" outlineLevel="1">
      <c r="C86" s="201" t="str">
        <v>SpareOfferC10</v>
      </c>
      <c r="D86" s="316"/>
      <c r="E86" s="316"/>
      <c r="F86" s="316"/>
      <c r="G86" s="316"/>
      <c r="H86" s="316"/>
      <c r="I86" s="316"/>
      <c r="J86" s="316"/>
      <c r="K86" s="316"/>
      <c r="L86" s="316"/>
      <c r="M86" s="316"/>
      <c r="N86" s="316"/>
      <c r="O86" s="316"/>
      <c r="P86" s="316"/>
      <c r="Q86" s="316"/>
      <c r="R86" s="316"/>
      <c r="S86" s="316"/>
      <c r="T86" s="316"/>
      <c r="U86" s="316"/>
      <c r="V86" s="316"/>
      <c r="W86" s="316"/>
      <c r="X86" s="316"/>
      <c r="Y86" s="316"/>
      <c r="Z86" s="316"/>
      <c r="AA86" s="316"/>
      <c r="AB86" s="316"/>
      <c r="AC86" s="316"/>
      <c r="AD86" s="316"/>
      <c r="AE86" s="316"/>
      <c r="AF86" s="316"/>
    </row>
    <row r="87" spans="3:32" hidden="1" outlineLevel="1">
      <c r="C87" s="201" t="str">
        <v>SpareOfferC11</v>
      </c>
      <c r="D87" s="316"/>
      <c r="E87" s="316"/>
      <c r="F87" s="316"/>
      <c r="G87" s="316"/>
      <c r="H87" s="316"/>
      <c r="I87" s="316"/>
      <c r="J87" s="316"/>
      <c r="K87" s="316"/>
      <c r="L87" s="316"/>
      <c r="M87" s="316"/>
      <c r="N87" s="316"/>
      <c r="O87" s="316"/>
      <c r="P87" s="316"/>
      <c r="Q87" s="316"/>
      <c r="R87" s="316"/>
      <c r="S87" s="316"/>
      <c r="T87" s="316"/>
      <c r="U87" s="316"/>
      <c r="V87" s="316"/>
      <c r="W87" s="316"/>
      <c r="X87" s="316"/>
      <c r="Y87" s="316"/>
      <c r="Z87" s="316"/>
      <c r="AA87" s="316"/>
      <c r="AB87" s="316"/>
      <c r="AC87" s="316"/>
      <c r="AD87" s="316"/>
      <c r="AE87" s="316"/>
      <c r="AF87" s="316"/>
    </row>
    <row r="88" spans="3:32" hidden="1" outlineLevel="1">
      <c r="C88" s="201" t="str">
        <v>SpareOfferC12</v>
      </c>
      <c r="D88" s="316"/>
      <c r="E88" s="316"/>
      <c r="F88" s="316"/>
      <c r="G88" s="316"/>
      <c r="H88" s="316"/>
      <c r="I88" s="316"/>
      <c r="J88" s="316"/>
      <c r="K88" s="316"/>
      <c r="L88" s="316"/>
      <c r="M88" s="316"/>
      <c r="N88" s="316"/>
      <c r="O88" s="316"/>
      <c r="P88" s="316"/>
      <c r="Q88" s="316"/>
      <c r="R88" s="316"/>
      <c r="S88" s="316"/>
      <c r="T88" s="316"/>
      <c r="U88" s="316"/>
      <c r="V88" s="316"/>
      <c r="W88" s="316"/>
      <c r="X88" s="316"/>
      <c r="Y88" s="316"/>
      <c r="Z88" s="316"/>
      <c r="AA88" s="316"/>
      <c r="AB88" s="316"/>
      <c r="AC88" s="316"/>
      <c r="AD88" s="316"/>
      <c r="AE88" s="316"/>
      <c r="AF88" s="316"/>
    </row>
    <row r="89" spans="3:32" hidden="1" outlineLevel="1">
      <c r="C89" s="201" t="str">
        <v>SpareOfferC13</v>
      </c>
      <c r="D89" s="316"/>
      <c r="E89" s="316"/>
      <c r="F89" s="316"/>
      <c r="G89" s="316"/>
      <c r="H89" s="316"/>
      <c r="I89" s="316"/>
      <c r="J89" s="316"/>
      <c r="K89" s="316"/>
      <c r="L89" s="316"/>
      <c r="M89" s="316"/>
      <c r="N89" s="316"/>
      <c r="O89" s="316"/>
      <c r="P89" s="316"/>
      <c r="Q89" s="316"/>
      <c r="R89" s="316"/>
      <c r="S89" s="316"/>
      <c r="T89" s="316"/>
      <c r="U89" s="316"/>
      <c r="V89" s="316"/>
      <c r="W89" s="316"/>
      <c r="X89" s="316"/>
      <c r="Y89" s="316"/>
      <c r="Z89" s="316"/>
      <c r="AA89" s="316"/>
      <c r="AB89" s="316"/>
      <c r="AC89" s="316"/>
      <c r="AD89" s="316"/>
      <c r="AE89" s="316"/>
      <c r="AF89" s="316"/>
    </row>
    <row r="90" spans="3:32" hidden="1" outlineLevel="1">
      <c r="C90" s="201" t="str">
        <v>SpareOfferC14</v>
      </c>
      <c r="D90" s="316"/>
      <c r="E90" s="316"/>
      <c r="F90" s="316"/>
      <c r="G90" s="316"/>
      <c r="H90" s="316"/>
      <c r="I90" s="316"/>
      <c r="J90" s="316"/>
      <c r="K90" s="316"/>
      <c r="L90" s="316"/>
      <c r="M90" s="316"/>
      <c r="N90" s="316"/>
      <c r="O90" s="316"/>
      <c r="P90" s="316"/>
      <c r="Q90" s="316"/>
      <c r="R90" s="316"/>
      <c r="S90" s="316"/>
      <c r="T90" s="316"/>
      <c r="U90" s="316"/>
      <c r="V90" s="316"/>
      <c r="W90" s="316"/>
      <c r="X90" s="316"/>
      <c r="Y90" s="316"/>
      <c r="Z90" s="316"/>
      <c r="AA90" s="316"/>
      <c r="AB90" s="316"/>
      <c r="AC90" s="316"/>
      <c r="AD90" s="316"/>
      <c r="AE90" s="316"/>
      <c r="AF90" s="316"/>
    </row>
    <row r="91" spans="3:32" hidden="1" outlineLevel="1">
      <c r="C91" s="201" t="str">
        <v>SpareOfferC15</v>
      </c>
      <c r="D91" s="316"/>
      <c r="E91" s="316"/>
      <c r="F91" s="316"/>
      <c r="G91" s="316"/>
      <c r="H91" s="316"/>
      <c r="I91" s="316"/>
      <c r="J91" s="316"/>
      <c r="K91" s="316"/>
      <c r="L91" s="316"/>
      <c r="M91" s="316"/>
      <c r="N91" s="316"/>
      <c r="O91" s="316"/>
      <c r="P91" s="316"/>
      <c r="Q91" s="316"/>
      <c r="R91" s="316"/>
      <c r="S91" s="316"/>
      <c r="T91" s="316"/>
      <c r="U91" s="316"/>
      <c r="V91" s="316"/>
      <c r="W91" s="316"/>
      <c r="X91" s="316"/>
      <c r="Y91" s="316"/>
      <c r="Z91" s="316"/>
      <c r="AA91" s="316"/>
      <c r="AB91" s="316"/>
      <c r="AC91" s="316"/>
      <c r="AD91" s="316"/>
      <c r="AE91" s="316"/>
      <c r="AF91" s="316"/>
    </row>
    <row r="92" spans="3:32" hidden="1" outlineLevel="1">
      <c r="C92" s="201" t="str">
        <v>SpareOfferC16</v>
      </c>
      <c r="D92" s="316"/>
      <c r="E92" s="316"/>
      <c r="F92" s="316"/>
      <c r="G92" s="316"/>
      <c r="H92" s="316"/>
      <c r="I92" s="316"/>
      <c r="J92" s="316"/>
      <c r="K92" s="316"/>
      <c r="L92" s="316"/>
      <c r="M92" s="316"/>
      <c r="N92" s="316"/>
      <c r="O92" s="316"/>
      <c r="P92" s="316"/>
      <c r="Q92" s="316"/>
      <c r="R92" s="316"/>
      <c r="S92" s="316"/>
      <c r="T92" s="316"/>
      <c r="U92" s="316"/>
      <c r="V92" s="316"/>
      <c r="W92" s="316"/>
      <c r="X92" s="316"/>
      <c r="Y92" s="316"/>
      <c r="Z92" s="316"/>
      <c r="AA92" s="316"/>
      <c r="AB92" s="316"/>
      <c r="AC92" s="316"/>
      <c r="AD92" s="316"/>
      <c r="AE92" s="316"/>
      <c r="AF92" s="316"/>
    </row>
    <row r="93" spans="3:32" hidden="1" outlineLevel="1">
      <c r="C93" s="201" t="str">
        <v>SpareOfferC17</v>
      </c>
      <c r="D93" s="316"/>
      <c r="E93" s="316"/>
      <c r="F93" s="316"/>
      <c r="G93" s="316"/>
      <c r="H93" s="316"/>
      <c r="I93" s="316"/>
      <c r="J93" s="316"/>
      <c r="K93" s="316"/>
      <c r="L93" s="316"/>
      <c r="M93" s="316"/>
      <c r="N93" s="316"/>
      <c r="O93" s="316"/>
      <c r="P93" s="316"/>
      <c r="Q93" s="316"/>
      <c r="R93" s="316"/>
      <c r="S93" s="316"/>
      <c r="T93" s="316"/>
      <c r="U93" s="316"/>
      <c r="V93" s="316"/>
      <c r="W93" s="316"/>
      <c r="X93" s="316"/>
      <c r="Y93" s="316"/>
      <c r="Z93" s="316"/>
      <c r="AA93" s="316"/>
      <c r="AB93" s="316"/>
      <c r="AC93" s="316"/>
      <c r="AD93" s="316"/>
      <c r="AE93" s="316"/>
      <c r="AF93" s="316"/>
    </row>
    <row r="94" spans="3:32" hidden="1" outlineLevel="1">
      <c r="C94" s="201" t="str">
        <v>SpareOfferC18</v>
      </c>
      <c r="D94" s="316"/>
      <c r="E94" s="316"/>
      <c r="F94" s="316"/>
      <c r="G94" s="316"/>
      <c r="H94" s="316"/>
      <c r="I94" s="316"/>
      <c r="J94" s="316"/>
      <c r="K94" s="316"/>
      <c r="L94" s="316"/>
      <c r="M94" s="316"/>
      <c r="N94" s="316"/>
      <c r="O94" s="316"/>
      <c r="P94" s="316"/>
      <c r="Q94" s="316"/>
      <c r="R94" s="316"/>
      <c r="S94" s="316"/>
      <c r="T94" s="316"/>
      <c r="U94" s="316"/>
      <c r="V94" s="316"/>
      <c r="W94" s="316"/>
      <c r="X94" s="316"/>
      <c r="Y94" s="316"/>
      <c r="Z94" s="316"/>
      <c r="AA94" s="316"/>
      <c r="AB94" s="316"/>
      <c r="AC94" s="316"/>
      <c r="AD94" s="316"/>
      <c r="AE94" s="316"/>
      <c r="AF94" s="316"/>
    </row>
    <row r="95" spans="3:32" hidden="1" outlineLevel="1">
      <c r="C95" s="201" t="str">
        <v>SpareOfferC19</v>
      </c>
      <c r="D95" s="316"/>
      <c r="E95" s="316"/>
      <c r="F95" s="316"/>
      <c r="G95" s="316"/>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row>
    <row r="96" spans="3:32" hidden="1" outlineLevel="1">
      <c r="C96" s="201" t="str">
        <v>SpareOfferC20</v>
      </c>
      <c r="D96" s="316"/>
      <c r="E96" s="316"/>
      <c r="F96" s="316"/>
      <c r="G96" s="316"/>
      <c r="H96" s="316"/>
      <c r="I96" s="316"/>
      <c r="J96" s="316"/>
      <c r="K96" s="316"/>
      <c r="L96" s="316"/>
      <c r="M96" s="316"/>
      <c r="N96" s="316"/>
      <c r="O96" s="316"/>
      <c r="P96" s="316"/>
      <c r="Q96" s="316"/>
      <c r="R96" s="316"/>
      <c r="S96" s="316"/>
      <c r="T96" s="316"/>
      <c r="U96" s="316"/>
      <c r="V96" s="316"/>
      <c r="W96" s="316"/>
      <c r="X96" s="316"/>
      <c r="Y96" s="316"/>
      <c r="Z96" s="316"/>
      <c r="AA96" s="316"/>
      <c r="AB96" s="316"/>
      <c r="AC96" s="316"/>
      <c r="AD96" s="316"/>
      <c r="AE96" s="316"/>
      <c r="AF96" s="316"/>
    </row>
    <row r="97" spans="3:32" hidden="1" outlineLevel="1">
      <c r="C97" s="201" t="str">
        <v>SpareOfferC21</v>
      </c>
      <c r="D97" s="316"/>
      <c r="E97" s="316"/>
      <c r="F97" s="316"/>
      <c r="G97" s="316"/>
      <c r="H97" s="316"/>
      <c r="I97" s="316"/>
      <c r="J97" s="316"/>
      <c r="K97" s="316"/>
      <c r="L97" s="316"/>
      <c r="M97" s="316"/>
      <c r="N97" s="316"/>
      <c r="O97" s="316"/>
      <c r="P97" s="316"/>
      <c r="Q97" s="316"/>
      <c r="R97" s="316"/>
      <c r="S97" s="316"/>
      <c r="T97" s="316"/>
      <c r="U97" s="316"/>
      <c r="V97" s="316"/>
      <c r="W97" s="316"/>
      <c r="X97" s="316"/>
      <c r="Y97" s="316"/>
      <c r="Z97" s="316"/>
      <c r="AA97" s="316"/>
      <c r="AB97" s="316"/>
      <c r="AC97" s="316"/>
      <c r="AD97" s="316"/>
      <c r="AE97" s="316"/>
      <c r="AF97" s="316"/>
    </row>
    <row r="98" spans="3:32" hidden="1" outlineLevel="1">
      <c r="C98" s="201" t="str">
        <v>SpareOfferC22</v>
      </c>
      <c r="D98" s="31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c r="AC98" s="316"/>
      <c r="AD98" s="316"/>
      <c r="AE98" s="316"/>
      <c r="AF98" s="316"/>
    </row>
    <row r="99" spans="3:32" hidden="1" outlineLevel="1">
      <c r="C99" s="201" t="str">
        <v>SpareOfferC23</v>
      </c>
      <c r="D99" s="316"/>
      <c r="E99" s="316"/>
      <c r="F99" s="316"/>
      <c r="G99" s="316"/>
      <c r="H99" s="316"/>
      <c r="I99" s="316"/>
      <c r="J99" s="316"/>
      <c r="K99" s="316"/>
      <c r="L99" s="316"/>
      <c r="M99" s="316"/>
      <c r="N99" s="316"/>
      <c r="O99" s="316"/>
      <c r="P99" s="316"/>
      <c r="Q99" s="316"/>
      <c r="R99" s="316"/>
      <c r="S99" s="316"/>
      <c r="T99" s="316"/>
      <c r="U99" s="316"/>
      <c r="V99" s="316"/>
      <c r="W99" s="316"/>
      <c r="X99" s="316"/>
      <c r="Y99" s="316"/>
      <c r="Z99" s="316"/>
      <c r="AA99" s="316"/>
      <c r="AB99" s="316"/>
      <c r="AC99" s="316"/>
      <c r="AD99" s="316"/>
      <c r="AE99" s="316"/>
      <c r="AF99" s="316"/>
    </row>
    <row r="100" spans="3:32" hidden="1" outlineLevel="1">
      <c r="C100" s="201" t="str">
        <v>SpareOfferC24</v>
      </c>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c r="AA100" s="316"/>
      <c r="AB100" s="316"/>
      <c r="AC100" s="316"/>
      <c r="AD100" s="316"/>
      <c r="AE100" s="316"/>
      <c r="AF100" s="316"/>
    </row>
    <row r="101" spans="3:32" hidden="1" outlineLevel="1">
      <c r="C101" s="201" t="str">
        <v>SpareOfferC25</v>
      </c>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c r="AA101" s="316"/>
      <c r="AB101" s="316"/>
      <c r="AC101" s="316"/>
      <c r="AD101" s="316"/>
      <c r="AE101" s="316"/>
      <c r="AF101" s="316"/>
    </row>
    <row r="102" spans="3:32" hidden="1" outlineLevel="1">
      <c r="C102" s="201" t="str">
        <v>SpareOfferC26</v>
      </c>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c r="AA102" s="316"/>
      <c r="AB102" s="316"/>
      <c r="AC102" s="316"/>
      <c r="AD102" s="316"/>
      <c r="AE102" s="316"/>
      <c r="AF102" s="316"/>
    </row>
    <row r="103" spans="3:32" hidden="1" outlineLevel="1">
      <c r="C103" s="201" t="str">
        <v>SpareOfferC27</v>
      </c>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c r="AA103" s="316"/>
      <c r="AB103" s="316"/>
      <c r="AC103" s="316"/>
      <c r="AD103" s="316"/>
      <c r="AE103" s="316"/>
      <c r="AF103" s="316"/>
    </row>
    <row r="104" spans="3:32" hidden="1" outlineLevel="1">
      <c r="C104" s="201" t="str">
        <v>SpareOfferC28</v>
      </c>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c r="AA104" s="316"/>
      <c r="AB104" s="316"/>
      <c r="AC104" s="316"/>
      <c r="AD104" s="316"/>
      <c r="AE104" s="316"/>
      <c r="AF104" s="316"/>
    </row>
    <row r="105" spans="3:32" hidden="1" outlineLevel="1">
      <c r="C105" s="201" t="str">
        <v>SpareOfferC29</v>
      </c>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c r="AA105" s="316"/>
      <c r="AB105" s="316"/>
      <c r="AC105" s="316"/>
      <c r="AD105" s="316"/>
      <c r="AE105" s="316"/>
      <c r="AF105" s="316"/>
    </row>
    <row r="106" spans="3:32" hidden="1" outlineLevel="1">
      <c r="C106" s="201" t="str">
        <v>SpareOfferC30</v>
      </c>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c r="AA106" s="316"/>
      <c r="AB106" s="316"/>
      <c r="AC106" s="316"/>
      <c r="AD106" s="316"/>
      <c r="AE106" s="316"/>
      <c r="AF106" s="316"/>
    </row>
    <row r="107" spans="3:32" hidden="1" outlineLevel="1">
      <c r="C107" s="201" t="str">
        <v>SpareOfferC31</v>
      </c>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c r="AA107" s="316"/>
      <c r="AB107" s="316"/>
      <c r="AC107" s="316"/>
      <c r="AD107" s="316"/>
      <c r="AE107" s="316"/>
      <c r="AF107" s="316"/>
    </row>
    <row r="108" spans="3:32" hidden="1" outlineLevel="1">
      <c r="C108" s="201" t="str">
        <v>SpareOfferC32</v>
      </c>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c r="AA108" s="316"/>
      <c r="AB108" s="316"/>
      <c r="AC108" s="316"/>
      <c r="AD108" s="316"/>
      <c r="AE108" s="316"/>
      <c r="AF108" s="316"/>
    </row>
    <row r="109" spans="3:32" hidden="1" outlineLevel="1">
      <c r="C109" s="201" t="str">
        <v>SpareOfferC33</v>
      </c>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c r="AA109" s="316"/>
      <c r="AB109" s="316"/>
      <c r="AC109" s="316"/>
      <c r="AD109" s="316"/>
      <c r="AE109" s="316"/>
      <c r="AF109" s="316"/>
    </row>
    <row r="110" spans="3:32" hidden="1" outlineLevel="1">
      <c r="C110" s="201" t="str">
        <v>SpareOfferC34</v>
      </c>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c r="AA110" s="316"/>
      <c r="AB110" s="316"/>
      <c r="AC110" s="316"/>
      <c r="AD110" s="316"/>
      <c r="AE110" s="316"/>
      <c r="AF110" s="316"/>
    </row>
    <row r="111" spans="3:32" hidden="1" outlineLevel="1">
      <c r="C111" s="201" t="str">
        <v>SpareOfferC35</v>
      </c>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c r="AA111" s="316"/>
      <c r="AB111" s="316"/>
      <c r="AC111" s="316"/>
      <c r="AD111" s="316"/>
      <c r="AE111" s="316"/>
      <c r="AF111" s="316"/>
    </row>
    <row r="112" spans="3:32" hidden="1" outlineLevel="1">
      <c r="C112" s="203" t="str">
        <f t="array" ref="C112:C146">offers.segment.4</f>
        <v>SpareOfferD1</v>
      </c>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row>
    <row r="113" spans="3:32" hidden="1" outlineLevel="1">
      <c r="C113" s="203" t="str">
        <v>SpareOfferD2</v>
      </c>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c r="AA113" s="316"/>
      <c r="AB113" s="316"/>
      <c r="AC113" s="316"/>
      <c r="AD113" s="316"/>
      <c r="AE113" s="316"/>
      <c r="AF113" s="316"/>
    </row>
    <row r="114" spans="3:32" hidden="1" outlineLevel="1">
      <c r="C114" s="203" t="str">
        <v>SpareOfferD3</v>
      </c>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row>
    <row r="115" spans="3:32" hidden="1" outlineLevel="1">
      <c r="C115" s="203" t="str">
        <v>SpareOfferD4</v>
      </c>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row>
    <row r="116" spans="3:32" hidden="1" outlineLevel="1">
      <c r="C116" s="203" t="str">
        <v>SpareOfferD5</v>
      </c>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row>
    <row r="117" spans="3:32" hidden="1" outlineLevel="1">
      <c r="C117" s="203" t="str">
        <v>SpareOfferD6</v>
      </c>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row>
    <row r="118" spans="3:32" hidden="1" outlineLevel="1">
      <c r="C118" s="203" t="str">
        <v>SpareOfferD7</v>
      </c>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row>
    <row r="119" spans="3:32" hidden="1" outlineLevel="1">
      <c r="C119" s="203" t="str">
        <v>SpareOfferD8</v>
      </c>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c r="AA119" s="316"/>
      <c r="AB119" s="316"/>
      <c r="AC119" s="316"/>
      <c r="AD119" s="316"/>
      <c r="AE119" s="316"/>
      <c r="AF119" s="316"/>
    </row>
    <row r="120" spans="3:32" hidden="1" outlineLevel="1">
      <c r="C120" s="203" t="str">
        <v>SpareOfferD9</v>
      </c>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c r="AA120" s="316"/>
      <c r="AB120" s="316"/>
      <c r="AC120" s="316"/>
      <c r="AD120" s="316"/>
      <c r="AE120" s="316"/>
      <c r="AF120" s="316"/>
    </row>
    <row r="121" spans="3:32" hidden="1" outlineLevel="1">
      <c r="C121" s="203" t="str">
        <v>SpareOfferD10</v>
      </c>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c r="AA121" s="316"/>
      <c r="AB121" s="316"/>
      <c r="AC121" s="316"/>
      <c r="AD121" s="316"/>
      <c r="AE121" s="316"/>
      <c r="AF121" s="316"/>
    </row>
    <row r="122" spans="3:32" hidden="1" outlineLevel="1">
      <c r="C122" s="203" t="str">
        <v>SpareOfferD11</v>
      </c>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c r="AA122" s="316"/>
      <c r="AB122" s="316"/>
      <c r="AC122" s="316"/>
      <c r="AD122" s="316"/>
      <c r="AE122" s="316"/>
      <c r="AF122" s="316"/>
    </row>
    <row r="123" spans="3:32" hidden="1" outlineLevel="1">
      <c r="C123" s="203" t="str">
        <v>SpareOfferD12</v>
      </c>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c r="AA123" s="316"/>
      <c r="AB123" s="316"/>
      <c r="AC123" s="316"/>
      <c r="AD123" s="316"/>
      <c r="AE123" s="316"/>
      <c r="AF123" s="316"/>
    </row>
    <row r="124" spans="3:32" hidden="1" outlineLevel="1">
      <c r="C124" s="203" t="str">
        <v>SpareOfferD13</v>
      </c>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c r="AA124" s="316"/>
      <c r="AB124" s="316"/>
      <c r="AC124" s="316"/>
      <c r="AD124" s="316"/>
      <c r="AE124" s="316"/>
      <c r="AF124" s="316"/>
    </row>
    <row r="125" spans="3:32" hidden="1" outlineLevel="1">
      <c r="C125" s="203" t="str">
        <v>SpareOfferD14</v>
      </c>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c r="AA125" s="316"/>
      <c r="AB125" s="316"/>
      <c r="AC125" s="316"/>
      <c r="AD125" s="316"/>
      <c r="AE125" s="316"/>
      <c r="AF125" s="316"/>
    </row>
    <row r="126" spans="3:32" hidden="1" outlineLevel="1">
      <c r="C126" s="203" t="str">
        <v>SpareOfferD15</v>
      </c>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c r="AA126" s="316"/>
      <c r="AB126" s="316"/>
      <c r="AC126" s="316"/>
      <c r="AD126" s="316"/>
      <c r="AE126" s="316"/>
      <c r="AF126" s="316"/>
    </row>
    <row r="127" spans="3:32" hidden="1" outlineLevel="1">
      <c r="C127" s="203" t="str">
        <v>SpareOfferD16</v>
      </c>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c r="AA127" s="316"/>
      <c r="AB127" s="316"/>
      <c r="AC127" s="316"/>
      <c r="AD127" s="316"/>
      <c r="AE127" s="316"/>
      <c r="AF127" s="316"/>
    </row>
    <row r="128" spans="3:32" hidden="1" outlineLevel="1">
      <c r="C128" s="203" t="str">
        <v>SpareOfferD17</v>
      </c>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c r="AA128" s="316"/>
      <c r="AB128" s="316"/>
      <c r="AC128" s="316"/>
      <c r="AD128" s="316"/>
      <c r="AE128" s="316"/>
      <c r="AF128" s="316"/>
    </row>
    <row r="129" spans="3:32" hidden="1" outlineLevel="1">
      <c r="C129" s="203" t="str">
        <v>SpareOfferD18</v>
      </c>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c r="AC129" s="316"/>
      <c r="AD129" s="316"/>
      <c r="AE129" s="316"/>
      <c r="AF129" s="316"/>
    </row>
    <row r="130" spans="3:32" hidden="1" outlineLevel="1">
      <c r="C130" s="203" t="str">
        <v>SpareOfferD19</v>
      </c>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row>
    <row r="131" spans="3:32" hidden="1" outlineLevel="1">
      <c r="C131" s="203" t="str">
        <v>SpareOfferD20</v>
      </c>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row>
    <row r="132" spans="3:32" hidden="1" outlineLevel="1">
      <c r="C132" s="203" t="str">
        <v>SpareOfferD21</v>
      </c>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c r="AA132" s="316"/>
      <c r="AB132" s="316"/>
      <c r="AC132" s="316"/>
      <c r="AD132" s="316"/>
      <c r="AE132" s="316"/>
      <c r="AF132" s="316"/>
    </row>
    <row r="133" spans="3:32" hidden="1" outlineLevel="1">
      <c r="C133" s="203" t="str">
        <v>SpareOfferD22</v>
      </c>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c r="AA133" s="316"/>
      <c r="AB133" s="316"/>
      <c r="AC133" s="316"/>
      <c r="AD133" s="316"/>
      <c r="AE133" s="316"/>
      <c r="AF133" s="316"/>
    </row>
    <row r="134" spans="3:32" hidden="1" outlineLevel="1">
      <c r="C134" s="203" t="str">
        <v>SpareOfferD23</v>
      </c>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c r="AA134" s="316"/>
      <c r="AB134" s="316"/>
      <c r="AC134" s="316"/>
      <c r="AD134" s="316"/>
      <c r="AE134" s="316"/>
      <c r="AF134" s="316"/>
    </row>
    <row r="135" spans="3:32" hidden="1" outlineLevel="1">
      <c r="C135" s="203" t="str">
        <v>SpareOfferD24</v>
      </c>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c r="AA135" s="316"/>
      <c r="AB135" s="316"/>
      <c r="AC135" s="316"/>
      <c r="AD135" s="316"/>
      <c r="AE135" s="316"/>
      <c r="AF135" s="316"/>
    </row>
    <row r="136" spans="3:32" hidden="1" outlineLevel="1">
      <c r="C136" s="203" t="str">
        <v>SpareOfferD25</v>
      </c>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c r="AA136" s="316"/>
      <c r="AB136" s="316"/>
      <c r="AC136" s="316"/>
      <c r="AD136" s="316"/>
      <c r="AE136" s="316"/>
      <c r="AF136" s="316"/>
    </row>
    <row r="137" spans="3:32" hidden="1" outlineLevel="1">
      <c r="C137" s="203" t="str">
        <v>SpareOfferD26</v>
      </c>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c r="AA137" s="316"/>
      <c r="AB137" s="316"/>
      <c r="AC137" s="316"/>
      <c r="AD137" s="316"/>
      <c r="AE137" s="316"/>
      <c r="AF137" s="316"/>
    </row>
    <row r="138" spans="3:32" hidden="1" outlineLevel="1">
      <c r="C138" s="203" t="str">
        <v>SpareOfferD27</v>
      </c>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c r="AA138" s="316"/>
      <c r="AB138" s="316"/>
      <c r="AC138" s="316"/>
      <c r="AD138" s="316"/>
      <c r="AE138" s="316"/>
      <c r="AF138" s="316"/>
    </row>
    <row r="139" spans="3:32" hidden="1" outlineLevel="1">
      <c r="C139" s="203" t="str">
        <v>SpareOfferD28</v>
      </c>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c r="AA139" s="316"/>
      <c r="AB139" s="316"/>
      <c r="AC139" s="316"/>
      <c r="AD139" s="316"/>
      <c r="AE139" s="316"/>
      <c r="AF139" s="316"/>
    </row>
    <row r="140" spans="3:32" hidden="1" outlineLevel="1">
      <c r="C140" s="203" t="str">
        <v>SpareOfferD29</v>
      </c>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c r="AA140" s="316"/>
      <c r="AB140" s="316"/>
      <c r="AC140" s="316"/>
      <c r="AD140" s="316"/>
      <c r="AE140" s="316"/>
      <c r="AF140" s="316"/>
    </row>
    <row r="141" spans="3:32" hidden="1" outlineLevel="1">
      <c r="C141" s="203" t="str">
        <v>SpareOfferD30</v>
      </c>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c r="AA141" s="316"/>
      <c r="AB141" s="316"/>
      <c r="AC141" s="316"/>
      <c r="AD141" s="316"/>
      <c r="AE141" s="316"/>
      <c r="AF141" s="316"/>
    </row>
    <row r="142" spans="3:32" hidden="1" outlineLevel="1">
      <c r="C142" s="203" t="str">
        <v>SpareOfferD31</v>
      </c>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c r="AA142" s="316"/>
      <c r="AB142" s="316"/>
      <c r="AC142" s="316"/>
      <c r="AD142" s="316"/>
      <c r="AE142" s="316"/>
      <c r="AF142" s="316"/>
    </row>
    <row r="143" spans="3:32" hidden="1" outlineLevel="1">
      <c r="C143" s="203" t="str">
        <v>SpareOfferD32</v>
      </c>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c r="AA143" s="316"/>
      <c r="AB143" s="316"/>
      <c r="AC143" s="316"/>
      <c r="AD143" s="316"/>
      <c r="AE143" s="316"/>
      <c r="AF143" s="316"/>
    </row>
    <row r="144" spans="3:32" hidden="1" outlineLevel="1">
      <c r="C144" s="203" t="str">
        <v>SpareOfferD33</v>
      </c>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c r="AA144" s="316"/>
      <c r="AB144" s="316"/>
      <c r="AC144" s="316"/>
      <c r="AD144" s="316"/>
      <c r="AE144" s="316"/>
      <c r="AF144" s="316"/>
    </row>
    <row r="145" spans="2:33" hidden="1" outlineLevel="1">
      <c r="C145" s="203" t="str">
        <v>SpareOfferD34</v>
      </c>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row>
    <row r="146" spans="2:33" collapsed="1">
      <c r="C146" s="203" t="str">
        <v>-</v>
      </c>
      <c r="D146" s="316"/>
      <c r="E146" s="316"/>
      <c r="F146" s="316"/>
      <c r="G146" s="316"/>
      <c r="H146" s="316"/>
      <c r="I146" s="316"/>
      <c r="J146" s="316"/>
      <c r="K146" s="316"/>
      <c r="L146" s="316"/>
      <c r="M146" s="316"/>
      <c r="N146" s="316"/>
      <c r="O146" s="316"/>
      <c r="P146" s="316"/>
      <c r="Q146" s="316"/>
      <c r="R146" s="316"/>
      <c r="S146" s="316"/>
      <c r="T146" s="316"/>
      <c r="U146" s="316"/>
      <c r="V146" s="316"/>
      <c r="W146" s="316"/>
      <c r="X146" s="316"/>
      <c r="Y146" s="316"/>
      <c r="Z146" s="316"/>
      <c r="AA146" s="316"/>
      <c r="AB146" s="316"/>
      <c r="AC146" s="316"/>
      <c r="AD146" s="316"/>
      <c r="AE146" s="316"/>
      <c r="AF146" s="316"/>
    </row>
    <row r="147" spans="2:33" ht="12">
      <c r="C147" s="204"/>
      <c r="E147" s="204"/>
      <c r="F147" s="204"/>
      <c r="G147" s="204"/>
      <c r="I147" s="204"/>
      <c r="J147" s="204"/>
      <c r="K147" s="204"/>
      <c r="L147" s="204"/>
      <c r="M147" s="204"/>
      <c r="N147" s="204"/>
      <c r="O147" s="204"/>
      <c r="P147" s="204"/>
      <c r="Q147" s="204"/>
      <c r="R147" s="204"/>
      <c r="S147" s="204"/>
      <c r="T147" s="204"/>
      <c r="U147" s="204"/>
      <c r="V147" s="204"/>
      <c r="W147" s="205"/>
      <c r="X147" s="205"/>
      <c r="Y147" s="202"/>
      <c r="Z147" s="202"/>
      <c r="AA147" s="202"/>
      <c r="AB147" s="202"/>
      <c r="AC147" s="202"/>
      <c r="AD147" s="202"/>
      <c r="AE147" s="202"/>
      <c r="AG147" s="43" t="s">
        <v>464</v>
      </c>
    </row>
    <row r="148" spans="2:33" ht="15.5">
      <c r="B148" s="36" t="s">
        <v>368</v>
      </c>
    </row>
    <row r="149" spans="2:33">
      <c r="D149" s="217" t="s">
        <v>462</v>
      </c>
      <c r="E149" s="217"/>
      <c r="F149" s="217"/>
      <c r="G149" s="217"/>
      <c r="H149" s="1"/>
      <c r="I149" s="187" t="s">
        <v>427</v>
      </c>
      <c r="J149" s="187"/>
      <c r="K149" s="187"/>
      <c r="L149" s="187"/>
      <c r="M149" s="187"/>
      <c r="N149" s="188" t="s">
        <v>428</v>
      </c>
      <c r="O149" s="188"/>
      <c r="P149" s="188"/>
      <c r="Q149" s="189" t="s">
        <v>429</v>
      </c>
      <c r="R149" s="189"/>
      <c r="S149" s="189"/>
      <c r="T149" s="189"/>
      <c r="U149" s="189"/>
      <c r="V149" s="189"/>
      <c r="W149" s="189"/>
      <c r="X149" s="189"/>
      <c r="Y149" s="189"/>
      <c r="Z149" s="189"/>
      <c r="AA149" s="189"/>
      <c r="AB149" s="190" t="s">
        <v>430</v>
      </c>
      <c r="AC149" s="190"/>
      <c r="AD149" s="191" t="s">
        <v>139</v>
      </c>
      <c r="AE149" s="191"/>
      <c r="AF149" s="191"/>
    </row>
    <row r="150" spans="2:33" ht="34.5">
      <c r="C150" s="1" t="s">
        <v>309</v>
      </c>
      <c r="D150" s="218" t="s">
        <v>473</v>
      </c>
      <c r="E150" s="218" t="s">
        <v>468</v>
      </c>
      <c r="F150" s="218" t="s">
        <v>659</v>
      </c>
      <c r="G150" s="218" t="s">
        <v>474</v>
      </c>
      <c r="H150" s="1" t="s">
        <v>882</v>
      </c>
      <c r="I150" s="192" t="s">
        <v>306</v>
      </c>
      <c r="J150" s="192" t="s">
        <v>307</v>
      </c>
      <c r="K150" s="193" t="s">
        <v>379</v>
      </c>
      <c r="L150" s="193" t="s">
        <v>380</v>
      </c>
      <c r="M150" s="194" t="s">
        <v>431</v>
      </c>
      <c r="N150" s="195" t="s">
        <v>432</v>
      </c>
      <c r="O150" s="195" t="s">
        <v>433</v>
      </c>
      <c r="P150" s="195" t="s">
        <v>434</v>
      </c>
      <c r="Q150" s="196" t="s">
        <v>524</v>
      </c>
      <c r="R150" s="196" t="s">
        <v>525</v>
      </c>
      <c r="S150" s="196" t="s">
        <v>586</v>
      </c>
      <c r="T150" s="196" t="s">
        <v>587</v>
      </c>
      <c r="U150" s="197" t="s">
        <v>435</v>
      </c>
      <c r="V150" s="198" t="s">
        <v>526</v>
      </c>
      <c r="W150" s="198" t="s">
        <v>527</v>
      </c>
      <c r="X150" s="198" t="s">
        <v>436</v>
      </c>
      <c r="Y150" s="199" t="s">
        <v>528</v>
      </c>
      <c r="Z150" s="199" t="s">
        <v>529</v>
      </c>
      <c r="AA150" s="199" t="s">
        <v>437</v>
      </c>
      <c r="AB150" s="200" t="s">
        <v>438</v>
      </c>
      <c r="AC150" s="200" t="s">
        <v>439</v>
      </c>
      <c r="AD150" s="191" t="s">
        <v>440</v>
      </c>
      <c r="AE150" s="191" t="s">
        <v>883</v>
      </c>
      <c r="AF150" s="191" t="s">
        <v>884</v>
      </c>
      <c r="AG150" s="43" t="s">
        <v>463</v>
      </c>
    </row>
    <row r="151" spans="2:33">
      <c r="C151" s="201" t="str">
        <f t="array" ref="C151:C185">offers.segment.1</f>
        <v>SpareOfferA1</v>
      </c>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row>
    <row r="152" spans="2:33" hidden="1" outlineLevel="1">
      <c r="C152" s="201" t="str">
        <v>SpareOfferA2</v>
      </c>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row>
    <row r="153" spans="2:33" hidden="1" outlineLevel="1">
      <c r="C153" s="201" t="str">
        <v>SpareOfferA3</v>
      </c>
      <c r="D153" s="316"/>
      <c r="E153" s="316"/>
      <c r="F153" s="316"/>
      <c r="G153" s="316"/>
      <c r="H153" s="316"/>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6"/>
      <c r="AE153" s="316"/>
      <c r="AF153" s="316"/>
    </row>
    <row r="154" spans="2:33" hidden="1" outlineLevel="1">
      <c r="C154" s="201" t="str">
        <v>SpareOfferA4</v>
      </c>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c r="AA154" s="316"/>
      <c r="AB154" s="316"/>
      <c r="AC154" s="316"/>
      <c r="AD154" s="316"/>
      <c r="AE154" s="316"/>
      <c r="AF154" s="316"/>
    </row>
    <row r="155" spans="2:33" hidden="1" outlineLevel="1">
      <c r="C155" s="201" t="str">
        <v>SpareOfferA5</v>
      </c>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6"/>
      <c r="AE155" s="316"/>
      <c r="AF155" s="316"/>
    </row>
    <row r="156" spans="2:33" hidden="1" outlineLevel="1">
      <c r="C156" s="201" t="str">
        <v>SpareOfferA6</v>
      </c>
      <c r="D156" s="316"/>
      <c r="E156" s="316"/>
      <c r="F156" s="316"/>
      <c r="G156" s="316"/>
      <c r="H156" s="316"/>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6"/>
      <c r="AE156" s="316"/>
      <c r="AF156" s="316"/>
    </row>
    <row r="157" spans="2:33" hidden="1" outlineLevel="1">
      <c r="C157" s="201" t="str">
        <v>SpareOfferA7</v>
      </c>
      <c r="D157" s="316"/>
      <c r="E157" s="316"/>
      <c r="F157" s="316"/>
      <c r="G157" s="316"/>
      <c r="H157" s="316"/>
      <c r="I157" s="316"/>
      <c r="J157" s="316"/>
      <c r="K157" s="316"/>
      <c r="L157" s="316"/>
      <c r="M157" s="316"/>
      <c r="N157" s="316"/>
      <c r="O157" s="316"/>
      <c r="P157" s="316"/>
      <c r="Q157" s="316"/>
      <c r="R157" s="316"/>
      <c r="S157" s="316"/>
      <c r="T157" s="316"/>
      <c r="U157" s="316"/>
      <c r="V157" s="316"/>
      <c r="W157" s="316"/>
      <c r="X157" s="316"/>
      <c r="Y157" s="316"/>
      <c r="Z157" s="316"/>
      <c r="AA157" s="316"/>
      <c r="AB157" s="316"/>
      <c r="AC157" s="316"/>
      <c r="AD157" s="316"/>
      <c r="AE157" s="316"/>
      <c r="AF157" s="316"/>
    </row>
    <row r="158" spans="2:33" hidden="1" outlineLevel="1">
      <c r="C158" s="201" t="str">
        <v>SpareOfferA8</v>
      </c>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c r="AA158" s="316"/>
      <c r="AB158" s="316"/>
      <c r="AC158" s="316"/>
      <c r="AD158" s="316"/>
      <c r="AE158" s="316"/>
      <c r="AF158" s="316"/>
    </row>
    <row r="159" spans="2:33" hidden="1" outlineLevel="1">
      <c r="C159" s="201" t="str">
        <v>SpareOfferA9</v>
      </c>
      <c r="D159" s="316"/>
      <c r="E159" s="316"/>
      <c r="F159" s="316"/>
      <c r="G159" s="316"/>
      <c r="H159" s="316"/>
      <c r="I159" s="316"/>
      <c r="J159" s="316"/>
      <c r="K159" s="316"/>
      <c r="L159" s="316"/>
      <c r="M159" s="316"/>
      <c r="N159" s="316"/>
      <c r="O159" s="316"/>
      <c r="P159" s="316"/>
      <c r="Q159" s="316"/>
      <c r="R159" s="316"/>
      <c r="S159" s="316"/>
      <c r="T159" s="316"/>
      <c r="U159" s="316"/>
      <c r="V159" s="316"/>
      <c r="W159" s="316"/>
      <c r="X159" s="316"/>
      <c r="Y159" s="316"/>
      <c r="Z159" s="316"/>
      <c r="AA159" s="316"/>
      <c r="AB159" s="316"/>
      <c r="AC159" s="316"/>
      <c r="AD159" s="316"/>
      <c r="AE159" s="316"/>
      <c r="AF159" s="316"/>
    </row>
    <row r="160" spans="2:33" hidden="1" outlineLevel="1">
      <c r="C160" s="201" t="str">
        <v>SpareOfferA10</v>
      </c>
      <c r="D160" s="316"/>
      <c r="E160" s="316"/>
      <c r="F160" s="316"/>
      <c r="G160" s="316"/>
      <c r="H160" s="316"/>
      <c r="I160" s="316"/>
      <c r="J160" s="316"/>
      <c r="K160" s="316"/>
      <c r="L160" s="316"/>
      <c r="M160" s="316"/>
      <c r="N160" s="316"/>
      <c r="O160" s="316"/>
      <c r="P160" s="316"/>
      <c r="Q160" s="316"/>
      <c r="R160" s="316"/>
      <c r="S160" s="316"/>
      <c r="T160" s="316"/>
      <c r="U160" s="316"/>
      <c r="V160" s="316"/>
      <c r="W160" s="316"/>
      <c r="X160" s="316"/>
      <c r="Y160" s="316"/>
      <c r="Z160" s="316"/>
      <c r="AA160" s="316"/>
      <c r="AB160" s="316"/>
      <c r="AC160" s="316"/>
      <c r="AD160" s="316"/>
      <c r="AE160" s="316"/>
      <c r="AF160" s="316"/>
    </row>
    <row r="161" spans="3:32" hidden="1" outlineLevel="1">
      <c r="C161" s="201" t="str">
        <v>SpareOfferA11</v>
      </c>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6"/>
      <c r="AE161" s="316"/>
      <c r="AF161" s="316"/>
    </row>
    <row r="162" spans="3:32" hidden="1" outlineLevel="1">
      <c r="C162" s="201" t="str">
        <v>SpareOfferA12</v>
      </c>
      <c r="D162" s="316"/>
      <c r="E162" s="316"/>
      <c r="F162" s="316"/>
      <c r="G162" s="316"/>
      <c r="H162" s="316"/>
      <c r="I162" s="316"/>
      <c r="J162" s="316"/>
      <c r="K162" s="316"/>
      <c r="L162" s="316"/>
      <c r="M162" s="316"/>
      <c r="N162" s="316"/>
      <c r="O162" s="316"/>
      <c r="P162" s="316"/>
      <c r="Q162" s="316"/>
      <c r="R162" s="316"/>
      <c r="S162" s="316"/>
      <c r="T162" s="316"/>
      <c r="U162" s="316"/>
      <c r="V162" s="316"/>
      <c r="W162" s="316"/>
      <c r="X162" s="316"/>
      <c r="Y162" s="316"/>
      <c r="Z162" s="316"/>
      <c r="AA162" s="316"/>
      <c r="AB162" s="316"/>
      <c r="AC162" s="316"/>
      <c r="AD162" s="316"/>
      <c r="AE162" s="316"/>
      <c r="AF162" s="316"/>
    </row>
    <row r="163" spans="3:32" hidden="1" outlineLevel="1">
      <c r="C163" s="201" t="str">
        <v>SpareOfferA13</v>
      </c>
      <c r="D163" s="316"/>
      <c r="E163" s="316"/>
      <c r="F163" s="316"/>
      <c r="G163" s="316"/>
      <c r="H163" s="316"/>
      <c r="I163" s="316"/>
      <c r="J163" s="316"/>
      <c r="K163" s="316"/>
      <c r="L163" s="316"/>
      <c r="M163" s="316"/>
      <c r="N163" s="316"/>
      <c r="O163" s="316"/>
      <c r="P163" s="316"/>
      <c r="Q163" s="316"/>
      <c r="R163" s="316"/>
      <c r="S163" s="316"/>
      <c r="T163" s="316"/>
      <c r="U163" s="316"/>
      <c r="V163" s="316"/>
      <c r="W163" s="316"/>
      <c r="X163" s="316"/>
      <c r="Y163" s="316"/>
      <c r="Z163" s="316"/>
      <c r="AA163" s="316"/>
      <c r="AB163" s="316"/>
      <c r="AC163" s="316"/>
      <c r="AD163" s="316"/>
      <c r="AE163" s="316"/>
      <c r="AF163" s="316"/>
    </row>
    <row r="164" spans="3:32" hidden="1" outlineLevel="1">
      <c r="C164" s="201" t="str">
        <v>SpareOfferA14</v>
      </c>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c r="AA164" s="316"/>
      <c r="AB164" s="316"/>
      <c r="AC164" s="316"/>
      <c r="AD164" s="316"/>
      <c r="AE164" s="316"/>
      <c r="AF164" s="316"/>
    </row>
    <row r="165" spans="3:32" hidden="1" outlineLevel="1">
      <c r="C165" s="201" t="str">
        <v>SpareOfferA15</v>
      </c>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6"/>
      <c r="AE165" s="316"/>
      <c r="AF165" s="316"/>
    </row>
    <row r="166" spans="3:32" hidden="1" outlineLevel="1">
      <c r="C166" s="201" t="str">
        <v>SpareOfferA16</v>
      </c>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6"/>
      <c r="AE166" s="316"/>
      <c r="AF166" s="316"/>
    </row>
    <row r="167" spans="3:32" hidden="1" outlineLevel="1">
      <c r="C167" s="201" t="str">
        <v>SpareOfferA17</v>
      </c>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c r="AA167" s="316"/>
      <c r="AB167" s="316"/>
      <c r="AC167" s="316"/>
      <c r="AD167" s="316"/>
      <c r="AE167" s="316"/>
      <c r="AF167" s="316"/>
    </row>
    <row r="168" spans="3:32" hidden="1" outlineLevel="1">
      <c r="C168" s="201" t="str">
        <v>SpareOfferA18</v>
      </c>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row>
    <row r="169" spans="3:32" hidden="1" outlineLevel="1">
      <c r="C169" s="201" t="str">
        <v>SpareOfferA19</v>
      </c>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6"/>
      <c r="AE169" s="316"/>
      <c r="AF169" s="316"/>
    </row>
    <row r="170" spans="3:32" hidden="1" outlineLevel="1">
      <c r="C170" s="201" t="str">
        <v>SpareOfferA20</v>
      </c>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c r="AA170" s="316"/>
      <c r="AB170" s="316"/>
      <c r="AC170" s="316"/>
      <c r="AD170" s="316"/>
      <c r="AE170" s="316"/>
      <c r="AF170" s="316"/>
    </row>
    <row r="171" spans="3:32" hidden="1" outlineLevel="1">
      <c r="C171" s="201" t="str">
        <v>SpareOfferA21</v>
      </c>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c r="AA171" s="316"/>
      <c r="AB171" s="316"/>
      <c r="AC171" s="316"/>
      <c r="AD171" s="316"/>
      <c r="AE171" s="316"/>
      <c r="AF171" s="316"/>
    </row>
    <row r="172" spans="3:32" hidden="1" outlineLevel="1">
      <c r="C172" s="201" t="str">
        <v>SpareOfferA22</v>
      </c>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c r="AA172" s="316"/>
      <c r="AB172" s="316"/>
      <c r="AC172" s="316"/>
      <c r="AD172" s="316"/>
      <c r="AE172" s="316"/>
      <c r="AF172" s="316"/>
    </row>
    <row r="173" spans="3:32" hidden="1" outlineLevel="1">
      <c r="C173" s="201" t="str">
        <v>SpareOfferA23</v>
      </c>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c r="AA173" s="316"/>
      <c r="AB173" s="316"/>
      <c r="AC173" s="316"/>
      <c r="AD173" s="316"/>
      <c r="AE173" s="316"/>
      <c r="AF173" s="316"/>
    </row>
    <row r="174" spans="3:32" hidden="1" outlineLevel="1">
      <c r="C174" s="201" t="str">
        <v>SpareOfferA24</v>
      </c>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6"/>
      <c r="AE174" s="316"/>
      <c r="AF174" s="316"/>
    </row>
    <row r="175" spans="3:32" hidden="1" outlineLevel="1">
      <c r="C175" s="201" t="str">
        <v>SpareOfferA25</v>
      </c>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c r="AA175" s="316"/>
      <c r="AB175" s="316"/>
      <c r="AC175" s="316"/>
      <c r="AD175" s="316"/>
      <c r="AE175" s="316"/>
      <c r="AF175" s="316"/>
    </row>
    <row r="176" spans="3:32" hidden="1" outlineLevel="1">
      <c r="C176" s="201" t="str">
        <v>SpareOfferA26</v>
      </c>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c r="AA176" s="316"/>
      <c r="AB176" s="316"/>
      <c r="AC176" s="316"/>
      <c r="AD176" s="316"/>
      <c r="AE176" s="316"/>
      <c r="AF176" s="316"/>
    </row>
    <row r="177" spans="3:32" hidden="1" outlineLevel="1">
      <c r="C177" s="201" t="str">
        <v>SpareOfferA27</v>
      </c>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c r="AA177" s="316"/>
      <c r="AB177" s="316"/>
      <c r="AC177" s="316"/>
      <c r="AD177" s="316"/>
      <c r="AE177" s="316"/>
      <c r="AF177" s="316"/>
    </row>
    <row r="178" spans="3:32" hidden="1" outlineLevel="1">
      <c r="C178" s="201" t="str">
        <v>SpareOfferA28</v>
      </c>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6"/>
      <c r="AE178" s="316"/>
      <c r="AF178" s="316"/>
    </row>
    <row r="179" spans="3:32" hidden="1" outlineLevel="1">
      <c r="C179" s="201" t="str">
        <v>SpareOfferA29</v>
      </c>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c r="AA179" s="316"/>
      <c r="AB179" s="316"/>
      <c r="AC179" s="316"/>
      <c r="AD179" s="316"/>
      <c r="AE179" s="316"/>
      <c r="AF179" s="316"/>
    </row>
    <row r="180" spans="3:32" hidden="1" outlineLevel="1">
      <c r="C180" s="201" t="str">
        <v>SpareOfferA30</v>
      </c>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c r="AA180" s="316"/>
      <c r="AB180" s="316"/>
      <c r="AC180" s="316"/>
      <c r="AD180" s="316"/>
      <c r="AE180" s="316"/>
      <c r="AF180" s="316"/>
    </row>
    <row r="181" spans="3:32" hidden="1" outlineLevel="1">
      <c r="C181" s="201" t="str">
        <v>SpareOfferA31</v>
      </c>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c r="AA181" s="316"/>
      <c r="AB181" s="316"/>
      <c r="AC181" s="316"/>
      <c r="AD181" s="316"/>
      <c r="AE181" s="316"/>
      <c r="AF181" s="316"/>
    </row>
    <row r="182" spans="3:32" hidden="1" outlineLevel="1">
      <c r="C182" s="201" t="str">
        <v>SpareOfferA32</v>
      </c>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row>
    <row r="183" spans="3:32" hidden="1" outlineLevel="1">
      <c r="C183" s="201" t="str">
        <v>SpareOfferA33</v>
      </c>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row>
    <row r="184" spans="3:32" hidden="1" outlineLevel="1">
      <c r="C184" s="201" t="str">
        <v>SpareOfferA34</v>
      </c>
      <c r="D184" s="316"/>
      <c r="E184" s="316"/>
      <c r="F184" s="316"/>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row>
    <row r="185" spans="3:32" hidden="1" outlineLevel="1">
      <c r="C185" s="201" t="str">
        <v>SpareOfferA35</v>
      </c>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row>
    <row r="186" spans="3:32" hidden="1" outlineLevel="1">
      <c r="C186" s="203" t="str">
        <f t="array" ref="C186:C220">offers.segment.2</f>
        <v>SpareOfferB1</v>
      </c>
      <c r="D186" s="316"/>
      <c r="E186" s="316"/>
      <c r="F186" s="316"/>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row>
    <row r="187" spans="3:32" hidden="1" outlineLevel="1">
      <c r="C187" s="203" t="str">
        <v>SpareOfferB2</v>
      </c>
      <c r="D187" s="316"/>
      <c r="E187" s="316"/>
      <c r="F187" s="316"/>
      <c r="G187" s="316"/>
      <c r="H187" s="316"/>
      <c r="I187" s="316"/>
      <c r="J187" s="316"/>
      <c r="K187" s="316"/>
      <c r="L187" s="316"/>
      <c r="M187" s="316"/>
      <c r="N187" s="316"/>
      <c r="O187" s="316"/>
      <c r="P187" s="316"/>
      <c r="Q187" s="316"/>
      <c r="R187" s="316"/>
      <c r="S187" s="316"/>
      <c r="T187" s="316"/>
      <c r="U187" s="316"/>
      <c r="V187" s="316"/>
      <c r="W187" s="316"/>
      <c r="X187" s="316"/>
      <c r="Y187" s="316"/>
      <c r="Z187" s="316"/>
      <c r="AA187" s="316"/>
      <c r="AB187" s="316"/>
      <c r="AC187" s="316"/>
      <c r="AD187" s="316"/>
      <c r="AE187" s="316"/>
      <c r="AF187" s="316"/>
    </row>
    <row r="188" spans="3:32" hidden="1" outlineLevel="1">
      <c r="C188" s="203" t="str">
        <v>SpareOfferB3</v>
      </c>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316"/>
      <c r="Z188" s="316"/>
      <c r="AA188" s="316"/>
      <c r="AB188" s="316"/>
      <c r="AC188" s="316"/>
      <c r="AD188" s="316"/>
      <c r="AE188" s="316"/>
      <c r="AF188" s="316"/>
    </row>
    <row r="189" spans="3:32" hidden="1" outlineLevel="1">
      <c r="C189" s="203" t="str">
        <v>SpareOfferB4</v>
      </c>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6"/>
      <c r="AF189" s="316"/>
    </row>
    <row r="190" spans="3:32" hidden="1" outlineLevel="1">
      <c r="C190" s="203" t="str">
        <v>SpareOfferB5</v>
      </c>
      <c r="D190" s="316"/>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row>
    <row r="191" spans="3:32" hidden="1" outlineLevel="1">
      <c r="C191" s="203" t="str">
        <v>SpareOfferB6</v>
      </c>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row>
    <row r="192" spans="3:32" hidden="1" outlineLevel="1">
      <c r="C192" s="203" t="str">
        <v>SpareOfferB7</v>
      </c>
      <c r="D192" s="316"/>
      <c r="E192" s="316"/>
      <c r="F192" s="316"/>
      <c r="G192" s="316"/>
      <c r="H192" s="316"/>
      <c r="I192" s="316"/>
      <c r="J192" s="316"/>
      <c r="K192" s="316"/>
      <c r="L192" s="316"/>
      <c r="M192" s="316"/>
      <c r="N192" s="316"/>
      <c r="O192" s="316"/>
      <c r="P192" s="316"/>
      <c r="Q192" s="316"/>
      <c r="R192" s="316"/>
      <c r="S192" s="316"/>
      <c r="T192" s="316"/>
      <c r="U192" s="316"/>
      <c r="V192" s="316"/>
      <c r="W192" s="316"/>
      <c r="X192" s="316"/>
      <c r="Y192" s="316"/>
      <c r="Z192" s="316"/>
      <c r="AA192" s="316"/>
      <c r="AB192" s="316"/>
      <c r="AC192" s="316"/>
      <c r="AD192" s="316"/>
      <c r="AE192" s="316"/>
      <c r="AF192" s="316"/>
    </row>
    <row r="193" spans="3:32" hidden="1" outlineLevel="1">
      <c r="C193" s="203" t="str">
        <v>SpareOfferB8</v>
      </c>
      <c r="D193" s="316"/>
      <c r="E193" s="316"/>
      <c r="F193" s="316"/>
      <c r="G193" s="316"/>
      <c r="H193" s="316"/>
      <c r="I193" s="316"/>
      <c r="J193" s="316"/>
      <c r="K193" s="316"/>
      <c r="L193" s="316"/>
      <c r="M193" s="316"/>
      <c r="N193" s="316"/>
      <c r="O193" s="316"/>
      <c r="P193" s="316"/>
      <c r="Q193" s="316"/>
      <c r="R193" s="316"/>
      <c r="S193" s="316"/>
      <c r="T193" s="316"/>
      <c r="U193" s="316"/>
      <c r="V193" s="316"/>
      <c r="W193" s="316"/>
      <c r="X193" s="316"/>
      <c r="Y193" s="316"/>
      <c r="Z193" s="316"/>
      <c r="AA193" s="316"/>
      <c r="AB193" s="316"/>
      <c r="AC193" s="316"/>
      <c r="AD193" s="316"/>
      <c r="AE193" s="316"/>
      <c r="AF193" s="316"/>
    </row>
    <row r="194" spans="3:32" hidden="1" outlineLevel="1">
      <c r="C194" s="203" t="str">
        <v>SpareOfferB9</v>
      </c>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16"/>
      <c r="Z194" s="316"/>
      <c r="AA194" s="316"/>
      <c r="AB194" s="316"/>
      <c r="AC194" s="316"/>
      <c r="AD194" s="316"/>
      <c r="AE194" s="316"/>
      <c r="AF194" s="316"/>
    </row>
    <row r="195" spans="3:32" hidden="1" outlineLevel="1">
      <c r="C195" s="203" t="str">
        <v>SpareOfferB10</v>
      </c>
      <c r="D195" s="316"/>
      <c r="E195" s="316"/>
      <c r="F195" s="316"/>
      <c r="G195" s="316"/>
      <c r="H195" s="316"/>
      <c r="I195" s="316"/>
      <c r="J195" s="316"/>
      <c r="K195" s="316"/>
      <c r="L195" s="316"/>
      <c r="M195" s="316"/>
      <c r="N195" s="316"/>
      <c r="O195" s="316"/>
      <c r="P195" s="316"/>
      <c r="Q195" s="316"/>
      <c r="R195" s="316"/>
      <c r="S195" s="316"/>
      <c r="T195" s="316"/>
      <c r="U195" s="316"/>
      <c r="V195" s="316"/>
      <c r="W195" s="316"/>
      <c r="X195" s="316"/>
      <c r="Y195" s="316"/>
      <c r="Z195" s="316"/>
      <c r="AA195" s="316"/>
      <c r="AB195" s="316"/>
      <c r="AC195" s="316"/>
      <c r="AD195" s="316"/>
      <c r="AE195" s="316"/>
      <c r="AF195" s="316"/>
    </row>
    <row r="196" spans="3:32" hidden="1" outlineLevel="1">
      <c r="C196" s="203" t="str">
        <v>SpareOfferB11</v>
      </c>
      <c r="D196" s="316"/>
      <c r="E196" s="316"/>
      <c r="F196" s="316"/>
      <c r="G196" s="316"/>
      <c r="H196" s="316"/>
      <c r="I196" s="316"/>
      <c r="J196" s="316"/>
      <c r="K196" s="316"/>
      <c r="L196" s="316"/>
      <c r="M196" s="316"/>
      <c r="N196" s="316"/>
      <c r="O196" s="316"/>
      <c r="P196" s="316"/>
      <c r="Q196" s="316"/>
      <c r="R196" s="316"/>
      <c r="S196" s="316"/>
      <c r="T196" s="316"/>
      <c r="U196" s="316"/>
      <c r="V196" s="316"/>
      <c r="W196" s="316"/>
      <c r="X196" s="316"/>
      <c r="Y196" s="316"/>
      <c r="Z196" s="316"/>
      <c r="AA196" s="316"/>
      <c r="AB196" s="316"/>
      <c r="AC196" s="316"/>
      <c r="AD196" s="316"/>
      <c r="AE196" s="316"/>
      <c r="AF196" s="316"/>
    </row>
    <row r="197" spans="3:32" hidden="1" outlineLevel="1">
      <c r="C197" s="203" t="str">
        <v>SpareOfferB12</v>
      </c>
      <c r="D197" s="316"/>
      <c r="E197" s="316"/>
      <c r="F197" s="316"/>
      <c r="G197" s="316"/>
      <c r="H197" s="316"/>
      <c r="I197" s="316"/>
      <c r="J197" s="316"/>
      <c r="K197" s="316"/>
      <c r="L197" s="316"/>
      <c r="M197" s="316"/>
      <c r="N197" s="316"/>
      <c r="O197" s="316"/>
      <c r="P197" s="316"/>
      <c r="Q197" s="316"/>
      <c r="R197" s="316"/>
      <c r="S197" s="316"/>
      <c r="T197" s="316"/>
      <c r="U197" s="316"/>
      <c r="V197" s="316"/>
      <c r="W197" s="316"/>
      <c r="X197" s="316"/>
      <c r="Y197" s="316"/>
      <c r="Z197" s="316"/>
      <c r="AA197" s="316"/>
      <c r="AB197" s="316"/>
      <c r="AC197" s="316"/>
      <c r="AD197" s="316"/>
      <c r="AE197" s="316"/>
      <c r="AF197" s="316"/>
    </row>
    <row r="198" spans="3:32" hidden="1" outlineLevel="1">
      <c r="C198" s="203" t="str">
        <v>SpareOfferB13</v>
      </c>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6"/>
      <c r="AE198" s="316"/>
      <c r="AF198" s="316"/>
    </row>
    <row r="199" spans="3:32" hidden="1" outlineLevel="1">
      <c r="C199" s="203" t="str">
        <v>SpareOfferB14</v>
      </c>
      <c r="D199" s="316"/>
      <c r="E199" s="316"/>
      <c r="F199" s="316"/>
      <c r="G199" s="316"/>
      <c r="H199" s="316"/>
      <c r="I199" s="316"/>
      <c r="J199" s="316"/>
      <c r="K199" s="316"/>
      <c r="L199" s="316"/>
      <c r="M199" s="316"/>
      <c r="N199" s="316"/>
      <c r="O199" s="316"/>
      <c r="P199" s="316"/>
      <c r="Q199" s="316"/>
      <c r="R199" s="316"/>
      <c r="S199" s="316"/>
      <c r="T199" s="316"/>
      <c r="U199" s="316"/>
      <c r="V199" s="316"/>
      <c r="W199" s="316"/>
      <c r="X199" s="316"/>
      <c r="Y199" s="316"/>
      <c r="Z199" s="316"/>
      <c r="AA199" s="316"/>
      <c r="AB199" s="316"/>
      <c r="AC199" s="316"/>
      <c r="AD199" s="316"/>
      <c r="AE199" s="316"/>
      <c r="AF199" s="316"/>
    </row>
    <row r="200" spans="3:32" hidden="1" outlineLevel="1">
      <c r="C200" s="203" t="str">
        <v>SpareOfferB15</v>
      </c>
      <c r="D200" s="316"/>
      <c r="E200" s="316"/>
      <c r="F200" s="316"/>
      <c r="G200" s="316"/>
      <c r="H200" s="316"/>
      <c r="I200" s="316"/>
      <c r="J200" s="316"/>
      <c r="K200" s="316"/>
      <c r="L200" s="316"/>
      <c r="M200" s="316"/>
      <c r="N200" s="316"/>
      <c r="O200" s="316"/>
      <c r="P200" s="316"/>
      <c r="Q200" s="316"/>
      <c r="R200" s="316"/>
      <c r="S200" s="316"/>
      <c r="T200" s="316"/>
      <c r="U200" s="316"/>
      <c r="V200" s="316"/>
      <c r="W200" s="316"/>
      <c r="X200" s="316"/>
      <c r="Y200" s="316"/>
      <c r="Z200" s="316"/>
      <c r="AA200" s="316"/>
      <c r="AB200" s="316"/>
      <c r="AC200" s="316"/>
      <c r="AD200" s="316"/>
      <c r="AE200" s="316"/>
      <c r="AF200" s="316"/>
    </row>
    <row r="201" spans="3:32" hidden="1" outlineLevel="1">
      <c r="C201" s="203" t="str">
        <v>SpareOfferB16</v>
      </c>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316"/>
      <c r="Z201" s="316"/>
      <c r="AA201" s="316"/>
      <c r="AB201" s="316"/>
      <c r="AC201" s="316"/>
      <c r="AD201" s="316"/>
      <c r="AE201" s="316"/>
      <c r="AF201" s="316"/>
    </row>
    <row r="202" spans="3:32" hidden="1" outlineLevel="1">
      <c r="C202" s="203" t="str">
        <v>SpareOfferB17</v>
      </c>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c r="AA202" s="316"/>
      <c r="AB202" s="316"/>
      <c r="AC202" s="316"/>
      <c r="AD202" s="316"/>
      <c r="AE202" s="316"/>
      <c r="AF202" s="316"/>
    </row>
    <row r="203" spans="3:32" hidden="1" outlineLevel="1">
      <c r="C203" s="203" t="str">
        <v>SpareOfferB18</v>
      </c>
      <c r="D203" s="316"/>
      <c r="E203" s="316"/>
      <c r="F203" s="316"/>
      <c r="G203" s="316"/>
      <c r="H203" s="316"/>
      <c r="I203" s="316"/>
      <c r="J203" s="316"/>
      <c r="K203" s="316"/>
      <c r="L203" s="316"/>
      <c r="M203" s="316"/>
      <c r="N203" s="316"/>
      <c r="O203" s="316"/>
      <c r="P203" s="316"/>
      <c r="Q203" s="316"/>
      <c r="R203" s="316"/>
      <c r="S203" s="316"/>
      <c r="T203" s="316"/>
      <c r="U203" s="316"/>
      <c r="V203" s="316"/>
      <c r="W203" s="316"/>
      <c r="X203" s="316"/>
      <c r="Y203" s="316"/>
      <c r="Z203" s="316"/>
      <c r="AA203" s="316"/>
      <c r="AB203" s="316"/>
      <c r="AC203" s="316"/>
      <c r="AD203" s="316"/>
      <c r="AE203" s="316"/>
      <c r="AF203" s="316"/>
    </row>
    <row r="204" spans="3:32" hidden="1" outlineLevel="1">
      <c r="C204" s="203" t="str">
        <v>SpareOfferB19</v>
      </c>
      <c r="D204" s="316"/>
      <c r="E204" s="316"/>
      <c r="F204" s="316"/>
      <c r="G204" s="316"/>
      <c r="H204" s="316"/>
      <c r="I204" s="316"/>
      <c r="J204" s="316"/>
      <c r="K204" s="316"/>
      <c r="L204" s="316"/>
      <c r="M204" s="316"/>
      <c r="N204" s="316"/>
      <c r="O204" s="316"/>
      <c r="P204" s="316"/>
      <c r="Q204" s="316"/>
      <c r="R204" s="316"/>
      <c r="S204" s="316"/>
      <c r="T204" s="316"/>
      <c r="U204" s="316"/>
      <c r="V204" s="316"/>
      <c r="W204" s="316"/>
      <c r="X204" s="316"/>
      <c r="Y204" s="316"/>
      <c r="Z204" s="316"/>
      <c r="AA204" s="316"/>
      <c r="AB204" s="316"/>
      <c r="AC204" s="316"/>
      <c r="AD204" s="316"/>
      <c r="AE204" s="316"/>
      <c r="AF204" s="316"/>
    </row>
    <row r="205" spans="3:32" hidden="1" outlineLevel="1">
      <c r="C205" s="203" t="str">
        <v>SpareOfferB20</v>
      </c>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316"/>
      <c r="Z205" s="316"/>
      <c r="AA205" s="316"/>
      <c r="AB205" s="316"/>
      <c r="AC205" s="316"/>
      <c r="AD205" s="316"/>
      <c r="AE205" s="316"/>
      <c r="AF205" s="316"/>
    </row>
    <row r="206" spans="3:32" hidden="1" outlineLevel="1">
      <c r="C206" s="203" t="str">
        <v>SpareOfferB21</v>
      </c>
      <c r="D206" s="316"/>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c r="AA206" s="316"/>
      <c r="AB206" s="316"/>
      <c r="AC206" s="316"/>
      <c r="AD206" s="316"/>
      <c r="AE206" s="316"/>
      <c r="AF206" s="316"/>
    </row>
    <row r="207" spans="3:32" hidden="1" outlineLevel="1">
      <c r="C207" s="203" t="str">
        <v>SpareOfferB22</v>
      </c>
      <c r="D207" s="316"/>
      <c r="E207" s="316"/>
      <c r="F207" s="316"/>
      <c r="G207" s="316"/>
      <c r="H207" s="316"/>
      <c r="I207" s="316"/>
      <c r="J207" s="316"/>
      <c r="K207" s="316"/>
      <c r="L207" s="316"/>
      <c r="M207" s="316"/>
      <c r="N207" s="316"/>
      <c r="O207" s="316"/>
      <c r="P207" s="316"/>
      <c r="Q207" s="316"/>
      <c r="R207" s="316"/>
      <c r="S207" s="316"/>
      <c r="T207" s="316"/>
      <c r="U207" s="316"/>
      <c r="V207" s="316"/>
      <c r="W207" s="316"/>
      <c r="X207" s="316"/>
      <c r="Y207" s="316"/>
      <c r="Z207" s="316"/>
      <c r="AA207" s="316"/>
      <c r="AB207" s="316"/>
      <c r="AC207" s="316"/>
      <c r="AD207" s="316"/>
      <c r="AE207" s="316"/>
      <c r="AF207" s="316"/>
    </row>
    <row r="208" spans="3:32" hidden="1" outlineLevel="1">
      <c r="C208" s="203" t="str">
        <v>SpareOfferB23</v>
      </c>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316"/>
      <c r="Z208" s="316"/>
      <c r="AA208" s="316"/>
      <c r="AB208" s="316"/>
      <c r="AC208" s="316"/>
      <c r="AD208" s="316"/>
      <c r="AE208" s="316"/>
      <c r="AF208" s="316"/>
    </row>
    <row r="209" spans="3:32" hidden="1" outlineLevel="1">
      <c r="C209" s="203" t="str">
        <v>SpareOfferB24</v>
      </c>
      <c r="D209" s="316"/>
      <c r="E209" s="316"/>
      <c r="F209" s="316"/>
      <c r="G209" s="316"/>
      <c r="H209" s="316"/>
      <c r="I209" s="316"/>
      <c r="J209" s="316"/>
      <c r="K209" s="316"/>
      <c r="L209" s="316"/>
      <c r="M209" s="316"/>
      <c r="N209" s="316"/>
      <c r="O209" s="316"/>
      <c r="P209" s="316"/>
      <c r="Q209" s="316"/>
      <c r="R209" s="316"/>
      <c r="S209" s="316"/>
      <c r="T209" s="316"/>
      <c r="U209" s="316"/>
      <c r="V209" s="316"/>
      <c r="W209" s="316"/>
      <c r="X209" s="316"/>
      <c r="Y209" s="316"/>
      <c r="Z209" s="316"/>
      <c r="AA209" s="316"/>
      <c r="AB209" s="316"/>
      <c r="AC209" s="316"/>
      <c r="AD209" s="316"/>
      <c r="AE209" s="316"/>
      <c r="AF209" s="316"/>
    </row>
    <row r="210" spans="3:32" hidden="1" outlineLevel="1">
      <c r="C210" s="203" t="str">
        <v>SpareOfferB25</v>
      </c>
      <c r="D210" s="316"/>
      <c r="E210" s="316"/>
      <c r="F210" s="316"/>
      <c r="G210" s="316"/>
      <c r="H210" s="316"/>
      <c r="I210" s="316"/>
      <c r="J210" s="316"/>
      <c r="K210" s="316"/>
      <c r="L210" s="316"/>
      <c r="M210" s="316"/>
      <c r="N210" s="316"/>
      <c r="O210" s="316"/>
      <c r="P210" s="316"/>
      <c r="Q210" s="316"/>
      <c r="R210" s="316"/>
      <c r="S210" s="316"/>
      <c r="T210" s="316"/>
      <c r="U210" s="316"/>
      <c r="V210" s="316"/>
      <c r="W210" s="316"/>
      <c r="X210" s="316"/>
      <c r="Y210" s="316"/>
      <c r="Z210" s="316"/>
      <c r="AA210" s="316"/>
      <c r="AB210" s="316"/>
      <c r="AC210" s="316"/>
      <c r="AD210" s="316"/>
      <c r="AE210" s="316"/>
      <c r="AF210" s="316"/>
    </row>
    <row r="211" spans="3:32" hidden="1" outlineLevel="1">
      <c r="C211" s="203" t="str">
        <v>SpareOfferB26</v>
      </c>
      <c r="D211" s="316"/>
      <c r="E211" s="316"/>
      <c r="F211" s="316"/>
      <c r="G211" s="316"/>
      <c r="H211" s="316"/>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6"/>
      <c r="AE211" s="316"/>
      <c r="AF211" s="316"/>
    </row>
    <row r="212" spans="3:32" hidden="1" outlineLevel="1">
      <c r="C212" s="203" t="str">
        <v>SpareOfferB27</v>
      </c>
      <c r="D212" s="316"/>
      <c r="E212" s="316"/>
      <c r="F212" s="316"/>
      <c r="G212" s="316"/>
      <c r="H212" s="316"/>
      <c r="I212" s="316"/>
      <c r="J212" s="316"/>
      <c r="K212" s="316"/>
      <c r="L212" s="316"/>
      <c r="M212" s="316"/>
      <c r="N212" s="316"/>
      <c r="O212" s="316"/>
      <c r="P212" s="316"/>
      <c r="Q212" s="316"/>
      <c r="R212" s="316"/>
      <c r="S212" s="316"/>
      <c r="T212" s="316"/>
      <c r="U212" s="316"/>
      <c r="V212" s="316"/>
      <c r="W212" s="316"/>
      <c r="X212" s="316"/>
      <c r="Y212" s="316"/>
      <c r="Z212" s="316"/>
      <c r="AA212" s="316"/>
      <c r="AB212" s="316"/>
      <c r="AC212" s="316"/>
      <c r="AD212" s="316"/>
      <c r="AE212" s="316"/>
      <c r="AF212" s="316"/>
    </row>
    <row r="213" spans="3:32" hidden="1" outlineLevel="1">
      <c r="C213" s="203" t="str">
        <v>SpareOfferB28</v>
      </c>
      <c r="D213" s="316"/>
      <c r="E213" s="316"/>
      <c r="F213" s="316"/>
      <c r="G213" s="316"/>
      <c r="H213" s="316"/>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6"/>
      <c r="AE213" s="316"/>
      <c r="AF213" s="316"/>
    </row>
    <row r="214" spans="3:32" hidden="1" outlineLevel="1">
      <c r="C214" s="203" t="str">
        <v>SpareOfferB29</v>
      </c>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6"/>
      <c r="AE214" s="316"/>
      <c r="AF214" s="316"/>
    </row>
    <row r="215" spans="3:32" hidden="1" outlineLevel="1">
      <c r="C215" s="203" t="str">
        <v>SpareOfferB30</v>
      </c>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6"/>
      <c r="AE215" s="316"/>
      <c r="AF215" s="316"/>
    </row>
    <row r="216" spans="3:32" hidden="1" outlineLevel="1">
      <c r="C216" s="203" t="str">
        <v>SpareOfferB31</v>
      </c>
      <c r="D216" s="316"/>
      <c r="E216" s="316"/>
      <c r="F216" s="316"/>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row>
    <row r="217" spans="3:32" hidden="1" outlineLevel="1">
      <c r="C217" s="203" t="str">
        <v>SpareOfferB32</v>
      </c>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row>
    <row r="218" spans="3:32" hidden="1" outlineLevel="1">
      <c r="C218" s="203" t="str">
        <v>SpareOfferB33</v>
      </c>
      <c r="D218" s="316"/>
      <c r="E218" s="316"/>
      <c r="F218" s="316"/>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row>
    <row r="219" spans="3:32" hidden="1" outlineLevel="1">
      <c r="C219" s="203" t="str">
        <v>SpareOfferB34</v>
      </c>
      <c r="D219" s="316"/>
      <c r="E219" s="316"/>
      <c r="F219" s="316"/>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row>
    <row r="220" spans="3:32" hidden="1" outlineLevel="1">
      <c r="C220" s="203" t="str">
        <v>SpareOfferB35</v>
      </c>
      <c r="D220" s="316"/>
      <c r="E220" s="316"/>
      <c r="F220" s="316"/>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row>
    <row r="221" spans="3:32" hidden="1" outlineLevel="1">
      <c r="C221" s="201" t="str">
        <f t="array" ref="C221:C255">offers.segment.3</f>
        <v>SpareOfferC1</v>
      </c>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row>
    <row r="222" spans="3:32" hidden="1" outlineLevel="1">
      <c r="C222" s="201" t="str">
        <v>SpareOfferC2</v>
      </c>
      <c r="D222" s="316"/>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6"/>
      <c r="AE222" s="316"/>
      <c r="AF222" s="316"/>
    </row>
    <row r="223" spans="3:32" hidden="1" outlineLevel="1">
      <c r="C223" s="201" t="str">
        <v>SpareOfferC3</v>
      </c>
      <c r="D223" s="316"/>
      <c r="E223" s="316"/>
      <c r="F223" s="316"/>
      <c r="G223" s="316"/>
      <c r="H223" s="316"/>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6"/>
      <c r="AE223" s="316"/>
      <c r="AF223" s="316"/>
    </row>
    <row r="224" spans="3:32" hidden="1" outlineLevel="1">
      <c r="C224" s="201" t="str">
        <v>SpareOfferC4</v>
      </c>
      <c r="D224" s="316"/>
      <c r="E224" s="316"/>
      <c r="F224" s="316"/>
      <c r="G224" s="316"/>
      <c r="H224" s="316"/>
      <c r="I224" s="316"/>
      <c r="J224" s="316"/>
      <c r="K224" s="316"/>
      <c r="L224" s="316"/>
      <c r="M224" s="316"/>
      <c r="N224" s="316"/>
      <c r="O224" s="316"/>
      <c r="P224" s="316"/>
      <c r="Q224" s="316"/>
      <c r="R224" s="316"/>
      <c r="S224" s="316"/>
      <c r="T224" s="316"/>
      <c r="U224" s="316"/>
      <c r="V224" s="316"/>
      <c r="W224" s="316"/>
      <c r="X224" s="316"/>
      <c r="Y224" s="316"/>
      <c r="Z224" s="316"/>
      <c r="AA224" s="316"/>
      <c r="AB224" s="316"/>
      <c r="AC224" s="316"/>
      <c r="AD224" s="316"/>
      <c r="AE224" s="316"/>
      <c r="AF224" s="316"/>
    </row>
    <row r="225" spans="3:32" hidden="1" outlineLevel="1">
      <c r="C225" s="201" t="str">
        <v>SpareOfferC5</v>
      </c>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6"/>
      <c r="AE225" s="316"/>
      <c r="AF225" s="316"/>
    </row>
    <row r="226" spans="3:32" hidden="1" outlineLevel="1">
      <c r="C226" s="201" t="str">
        <v>SpareOfferC6</v>
      </c>
      <c r="D226" s="316"/>
      <c r="E226" s="316"/>
      <c r="F226" s="316"/>
      <c r="G226" s="316"/>
      <c r="H226" s="316"/>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6"/>
      <c r="AE226" s="316"/>
      <c r="AF226" s="316"/>
    </row>
    <row r="227" spans="3:32" hidden="1" outlineLevel="1">
      <c r="C227" s="201" t="str">
        <v>SpareOfferC7</v>
      </c>
      <c r="D227" s="316"/>
      <c r="E227" s="316"/>
      <c r="F227" s="316"/>
      <c r="G227" s="316"/>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row>
    <row r="228" spans="3:32" hidden="1" outlineLevel="1">
      <c r="C228" s="201" t="str">
        <v>SpareOfferC8</v>
      </c>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6"/>
      <c r="AE228" s="316"/>
      <c r="AF228" s="316"/>
    </row>
    <row r="229" spans="3:32" hidden="1" outlineLevel="1">
      <c r="C229" s="201" t="str">
        <v>SpareOfferC9</v>
      </c>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6"/>
      <c r="AE229" s="316"/>
      <c r="AF229" s="316"/>
    </row>
    <row r="230" spans="3:32" hidden="1" outlineLevel="1">
      <c r="C230" s="201" t="str">
        <v>SpareOfferC10</v>
      </c>
      <c r="D230" s="316"/>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6"/>
      <c r="AE230" s="316"/>
      <c r="AF230" s="316"/>
    </row>
    <row r="231" spans="3:32" hidden="1" outlineLevel="1">
      <c r="C231" s="201" t="str">
        <v>SpareOfferC11</v>
      </c>
      <c r="D231" s="316"/>
      <c r="E231" s="316"/>
      <c r="F231" s="316"/>
      <c r="G231" s="316"/>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row>
    <row r="232" spans="3:32" hidden="1" outlineLevel="1">
      <c r="C232" s="201" t="str">
        <v>SpareOfferC12</v>
      </c>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6"/>
      <c r="AE232" s="316"/>
      <c r="AF232" s="316"/>
    </row>
    <row r="233" spans="3:32" hidden="1" outlineLevel="1">
      <c r="C233" s="201" t="str">
        <v>SpareOfferC13</v>
      </c>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c r="AA233" s="316"/>
      <c r="AB233" s="316"/>
      <c r="AC233" s="316"/>
      <c r="AD233" s="316"/>
      <c r="AE233" s="316"/>
      <c r="AF233" s="316"/>
    </row>
    <row r="234" spans="3:32" hidden="1" outlineLevel="1">
      <c r="C234" s="201" t="str">
        <v>SpareOfferC14</v>
      </c>
      <c r="D234" s="316"/>
      <c r="E234" s="316"/>
      <c r="F234" s="316"/>
      <c r="G234" s="316"/>
      <c r="H234" s="316"/>
      <c r="I234" s="316"/>
      <c r="J234" s="316"/>
      <c r="K234" s="316"/>
      <c r="L234" s="316"/>
      <c r="M234" s="316"/>
      <c r="N234" s="316"/>
      <c r="O234" s="316"/>
      <c r="P234" s="316"/>
      <c r="Q234" s="316"/>
      <c r="R234" s="316"/>
      <c r="S234" s="316"/>
      <c r="T234" s="316"/>
      <c r="U234" s="316"/>
      <c r="V234" s="316"/>
      <c r="W234" s="316"/>
      <c r="X234" s="316"/>
      <c r="Y234" s="316"/>
      <c r="Z234" s="316"/>
      <c r="AA234" s="316"/>
      <c r="AB234" s="316"/>
      <c r="AC234" s="316"/>
      <c r="AD234" s="316"/>
      <c r="AE234" s="316"/>
      <c r="AF234" s="316"/>
    </row>
    <row r="235" spans="3:32" hidden="1" outlineLevel="1">
      <c r="C235" s="201" t="str">
        <v>SpareOfferC15</v>
      </c>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316"/>
      <c r="Z235" s="316"/>
      <c r="AA235" s="316"/>
      <c r="AB235" s="316"/>
      <c r="AC235" s="316"/>
      <c r="AD235" s="316"/>
      <c r="AE235" s="316"/>
      <c r="AF235" s="316"/>
    </row>
    <row r="236" spans="3:32" hidden="1" outlineLevel="1">
      <c r="C236" s="201" t="str">
        <v>SpareOfferC16</v>
      </c>
      <c r="D236" s="316"/>
      <c r="E236" s="316"/>
      <c r="F236" s="316"/>
      <c r="G236" s="316"/>
      <c r="H236" s="316"/>
      <c r="I236" s="316"/>
      <c r="J236" s="316"/>
      <c r="K236" s="316"/>
      <c r="L236" s="316"/>
      <c r="M236" s="316"/>
      <c r="N236" s="316"/>
      <c r="O236" s="316"/>
      <c r="P236" s="316"/>
      <c r="Q236" s="316"/>
      <c r="R236" s="316"/>
      <c r="S236" s="316"/>
      <c r="T236" s="316"/>
      <c r="U236" s="316"/>
      <c r="V236" s="316"/>
      <c r="W236" s="316"/>
      <c r="X236" s="316"/>
      <c r="Y236" s="316"/>
      <c r="Z236" s="316"/>
      <c r="AA236" s="316"/>
      <c r="AB236" s="316"/>
      <c r="AC236" s="316"/>
      <c r="AD236" s="316"/>
      <c r="AE236" s="316"/>
      <c r="AF236" s="316"/>
    </row>
    <row r="237" spans="3:32" hidden="1" outlineLevel="1">
      <c r="C237" s="201" t="str">
        <v>SpareOfferC17</v>
      </c>
      <c r="D237" s="316"/>
      <c r="E237" s="316"/>
      <c r="F237" s="316"/>
      <c r="G237" s="316"/>
      <c r="H237" s="316"/>
      <c r="I237" s="316"/>
      <c r="J237" s="316"/>
      <c r="K237" s="316"/>
      <c r="L237" s="316"/>
      <c r="M237" s="316"/>
      <c r="N237" s="316"/>
      <c r="O237" s="316"/>
      <c r="P237" s="316"/>
      <c r="Q237" s="316"/>
      <c r="R237" s="316"/>
      <c r="S237" s="316"/>
      <c r="T237" s="316"/>
      <c r="U237" s="316"/>
      <c r="V237" s="316"/>
      <c r="W237" s="316"/>
      <c r="X237" s="316"/>
      <c r="Y237" s="316"/>
      <c r="Z237" s="316"/>
      <c r="AA237" s="316"/>
      <c r="AB237" s="316"/>
      <c r="AC237" s="316"/>
      <c r="AD237" s="316"/>
      <c r="AE237" s="316"/>
      <c r="AF237" s="316"/>
    </row>
    <row r="238" spans="3:32" hidden="1" outlineLevel="1">
      <c r="C238" s="201" t="str">
        <v>SpareOfferC18</v>
      </c>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c r="AA238" s="316"/>
      <c r="AB238" s="316"/>
      <c r="AC238" s="316"/>
      <c r="AD238" s="316"/>
      <c r="AE238" s="316"/>
      <c r="AF238" s="316"/>
    </row>
    <row r="239" spans="3:32" hidden="1" outlineLevel="1">
      <c r="C239" s="201" t="str">
        <v>SpareOfferC19</v>
      </c>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316"/>
      <c r="Z239" s="316"/>
      <c r="AA239" s="316"/>
      <c r="AB239" s="316"/>
      <c r="AC239" s="316"/>
      <c r="AD239" s="316"/>
      <c r="AE239" s="316"/>
      <c r="AF239" s="316"/>
    </row>
    <row r="240" spans="3:32" hidden="1" outlineLevel="1">
      <c r="C240" s="201" t="str">
        <v>SpareOfferC20</v>
      </c>
      <c r="D240" s="316"/>
      <c r="E240" s="316"/>
      <c r="F240" s="316"/>
      <c r="G240" s="316"/>
      <c r="H240" s="316"/>
      <c r="I240" s="316"/>
      <c r="J240" s="316"/>
      <c r="K240" s="316"/>
      <c r="L240" s="316"/>
      <c r="M240" s="316"/>
      <c r="N240" s="316"/>
      <c r="O240" s="316"/>
      <c r="P240" s="316"/>
      <c r="Q240" s="316"/>
      <c r="R240" s="316"/>
      <c r="S240" s="316"/>
      <c r="T240" s="316"/>
      <c r="U240" s="316"/>
      <c r="V240" s="316"/>
      <c r="W240" s="316"/>
      <c r="X240" s="316"/>
      <c r="Y240" s="316"/>
      <c r="Z240" s="316"/>
      <c r="AA240" s="316"/>
      <c r="AB240" s="316"/>
      <c r="AC240" s="316"/>
      <c r="AD240" s="316"/>
      <c r="AE240" s="316"/>
      <c r="AF240" s="316"/>
    </row>
    <row r="241" spans="3:32" hidden="1" outlineLevel="1">
      <c r="C241" s="201" t="str">
        <v>SpareOfferC21</v>
      </c>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316"/>
      <c r="Z241" s="316"/>
      <c r="AA241" s="316"/>
      <c r="AB241" s="316"/>
      <c r="AC241" s="316"/>
      <c r="AD241" s="316"/>
      <c r="AE241" s="316"/>
      <c r="AF241" s="316"/>
    </row>
    <row r="242" spans="3:32" hidden="1" outlineLevel="1">
      <c r="C242" s="201" t="str">
        <v>SpareOfferC22</v>
      </c>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316"/>
      <c r="Z242" s="316"/>
      <c r="AA242" s="316"/>
      <c r="AB242" s="316"/>
      <c r="AC242" s="316"/>
      <c r="AD242" s="316"/>
      <c r="AE242" s="316"/>
      <c r="AF242" s="316"/>
    </row>
    <row r="243" spans="3:32" hidden="1" outlineLevel="1">
      <c r="C243" s="201" t="str">
        <v>SpareOfferC23</v>
      </c>
      <c r="D243" s="316"/>
      <c r="E243" s="316"/>
      <c r="F243" s="316"/>
      <c r="G243" s="316"/>
      <c r="H243" s="316"/>
      <c r="I243" s="316"/>
      <c r="J243" s="316"/>
      <c r="K243" s="316"/>
      <c r="L243" s="316"/>
      <c r="M243" s="316"/>
      <c r="N243" s="316"/>
      <c r="O243" s="316"/>
      <c r="P243" s="316"/>
      <c r="Q243" s="316"/>
      <c r="R243" s="316"/>
      <c r="S243" s="316"/>
      <c r="T243" s="316"/>
      <c r="U243" s="316"/>
      <c r="V243" s="316"/>
      <c r="W243" s="316"/>
      <c r="X243" s="316"/>
      <c r="Y243" s="316"/>
      <c r="Z243" s="316"/>
      <c r="AA243" s="316"/>
      <c r="AB243" s="316"/>
      <c r="AC243" s="316"/>
      <c r="AD243" s="316"/>
      <c r="AE243" s="316"/>
      <c r="AF243" s="316"/>
    </row>
    <row r="244" spans="3:32" hidden="1" outlineLevel="1">
      <c r="C244" s="201" t="str">
        <v>SpareOfferC24</v>
      </c>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316"/>
      <c r="Z244" s="316"/>
      <c r="AA244" s="316"/>
      <c r="AB244" s="316"/>
      <c r="AC244" s="316"/>
      <c r="AD244" s="316"/>
      <c r="AE244" s="316"/>
      <c r="AF244" s="316"/>
    </row>
    <row r="245" spans="3:32" hidden="1" outlineLevel="1">
      <c r="C245" s="201" t="str">
        <v>SpareOfferC25</v>
      </c>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316"/>
      <c r="Z245" s="316"/>
      <c r="AA245" s="316"/>
      <c r="AB245" s="316"/>
      <c r="AC245" s="316"/>
      <c r="AD245" s="316"/>
      <c r="AE245" s="316"/>
      <c r="AF245" s="316"/>
    </row>
    <row r="246" spans="3:32" hidden="1" outlineLevel="1">
      <c r="C246" s="201" t="str">
        <v>SpareOfferC26</v>
      </c>
      <c r="D246" s="316"/>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c r="AA246" s="316"/>
      <c r="AB246" s="316"/>
      <c r="AC246" s="316"/>
      <c r="AD246" s="316"/>
      <c r="AE246" s="316"/>
      <c r="AF246" s="316"/>
    </row>
    <row r="247" spans="3:32" hidden="1" outlineLevel="1">
      <c r="C247" s="201" t="str">
        <v>SpareOfferC27</v>
      </c>
      <c r="D247" s="316"/>
      <c r="E247" s="316"/>
      <c r="F247" s="316"/>
      <c r="G247" s="316"/>
      <c r="H247" s="316"/>
      <c r="I247" s="316"/>
      <c r="J247" s="316"/>
      <c r="K247" s="316"/>
      <c r="L247" s="316"/>
      <c r="M247" s="316"/>
      <c r="N247" s="316"/>
      <c r="O247" s="316"/>
      <c r="P247" s="316"/>
      <c r="Q247" s="316"/>
      <c r="R247" s="316"/>
      <c r="S247" s="316"/>
      <c r="T247" s="316"/>
      <c r="U247" s="316"/>
      <c r="V247" s="316"/>
      <c r="W247" s="316"/>
      <c r="X247" s="316"/>
      <c r="Y247" s="316"/>
      <c r="Z247" s="316"/>
      <c r="AA247" s="316"/>
      <c r="AB247" s="316"/>
      <c r="AC247" s="316"/>
      <c r="AD247" s="316"/>
      <c r="AE247" s="316"/>
      <c r="AF247" s="316"/>
    </row>
    <row r="248" spans="3:32" hidden="1" outlineLevel="1">
      <c r="C248" s="201" t="str">
        <v>SpareOfferC28</v>
      </c>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316"/>
      <c r="Z248" s="316"/>
      <c r="AA248" s="316"/>
      <c r="AB248" s="316"/>
      <c r="AC248" s="316"/>
      <c r="AD248" s="316"/>
      <c r="AE248" s="316"/>
      <c r="AF248" s="316"/>
    </row>
    <row r="249" spans="3:32" hidden="1" outlineLevel="1">
      <c r="C249" s="201" t="str">
        <v>SpareOfferC29</v>
      </c>
      <c r="D249" s="316"/>
      <c r="E249" s="316"/>
      <c r="F249" s="316"/>
      <c r="G249" s="316"/>
      <c r="H249" s="316"/>
      <c r="I249" s="316"/>
      <c r="J249" s="316"/>
      <c r="K249" s="316"/>
      <c r="L249" s="316"/>
      <c r="M249" s="316"/>
      <c r="N249" s="316"/>
      <c r="O249" s="316"/>
      <c r="P249" s="316"/>
      <c r="Q249" s="316"/>
      <c r="R249" s="316"/>
      <c r="S249" s="316"/>
      <c r="T249" s="316"/>
      <c r="U249" s="316"/>
      <c r="V249" s="316"/>
      <c r="W249" s="316"/>
      <c r="X249" s="316"/>
      <c r="Y249" s="316"/>
      <c r="Z249" s="316"/>
      <c r="AA249" s="316"/>
      <c r="AB249" s="316"/>
      <c r="AC249" s="316"/>
      <c r="AD249" s="316"/>
      <c r="AE249" s="316"/>
      <c r="AF249" s="316"/>
    </row>
    <row r="250" spans="3:32" hidden="1" outlineLevel="1">
      <c r="C250" s="201" t="str">
        <v>SpareOfferC30</v>
      </c>
      <c r="D250" s="316"/>
      <c r="E250" s="316"/>
      <c r="F250" s="316"/>
      <c r="G250" s="316"/>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row>
    <row r="251" spans="3:32" hidden="1" outlineLevel="1">
      <c r="C251" s="201" t="str">
        <v>SpareOfferC31</v>
      </c>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row>
    <row r="252" spans="3:32" hidden="1" outlineLevel="1">
      <c r="C252" s="201" t="str">
        <v>SpareOfferC32</v>
      </c>
      <c r="D252" s="316"/>
      <c r="E252" s="316"/>
      <c r="F252" s="316"/>
      <c r="G252" s="316"/>
      <c r="H252" s="316"/>
      <c r="I252" s="316"/>
      <c r="J252" s="316"/>
      <c r="K252" s="316"/>
      <c r="L252" s="316"/>
      <c r="M252" s="316"/>
      <c r="N252" s="316"/>
      <c r="O252" s="316"/>
      <c r="P252" s="316"/>
      <c r="Q252" s="316"/>
      <c r="R252" s="316"/>
      <c r="S252" s="316"/>
      <c r="T252" s="316"/>
      <c r="U252" s="316"/>
      <c r="V252" s="316"/>
      <c r="W252" s="316"/>
      <c r="X252" s="316"/>
      <c r="Y252" s="316"/>
      <c r="Z252" s="316"/>
      <c r="AA252" s="316"/>
      <c r="AB252" s="316"/>
      <c r="AC252" s="316"/>
      <c r="AD252" s="316"/>
      <c r="AE252" s="316"/>
      <c r="AF252" s="316"/>
    </row>
    <row r="253" spans="3:32" hidden="1" outlineLevel="1">
      <c r="C253" s="201" t="str">
        <v>SpareOfferC33</v>
      </c>
      <c r="D253" s="316"/>
      <c r="E253" s="316"/>
      <c r="F253" s="316"/>
      <c r="G253" s="316"/>
      <c r="H253" s="316"/>
      <c r="I253" s="316"/>
      <c r="J253" s="316"/>
      <c r="K253" s="316"/>
      <c r="L253" s="316"/>
      <c r="M253" s="316"/>
      <c r="N253" s="316"/>
      <c r="O253" s="316"/>
      <c r="P253" s="316"/>
      <c r="Q253" s="316"/>
      <c r="R253" s="316"/>
      <c r="S253" s="316"/>
      <c r="T253" s="316"/>
      <c r="U253" s="316"/>
      <c r="V253" s="316"/>
      <c r="W253" s="316"/>
      <c r="X253" s="316"/>
      <c r="Y253" s="316"/>
      <c r="Z253" s="316"/>
      <c r="AA253" s="316"/>
      <c r="AB253" s="316"/>
      <c r="AC253" s="316"/>
      <c r="AD253" s="316"/>
      <c r="AE253" s="316"/>
      <c r="AF253" s="316"/>
    </row>
    <row r="254" spans="3:32" hidden="1" outlineLevel="1">
      <c r="C254" s="201" t="str">
        <v>SpareOfferC34</v>
      </c>
      <c r="D254" s="316"/>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c r="AA254" s="316"/>
      <c r="AB254" s="316"/>
      <c r="AC254" s="316"/>
      <c r="AD254" s="316"/>
      <c r="AE254" s="316"/>
      <c r="AF254" s="316"/>
    </row>
    <row r="255" spans="3:32" hidden="1" outlineLevel="1">
      <c r="C255" s="201" t="str">
        <v>SpareOfferC35</v>
      </c>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316"/>
      <c r="Z255" s="316"/>
      <c r="AA255" s="316"/>
      <c r="AB255" s="316"/>
      <c r="AC255" s="316"/>
      <c r="AD255" s="316"/>
      <c r="AE255" s="316"/>
      <c r="AF255" s="316"/>
    </row>
    <row r="256" spans="3:32" hidden="1" outlineLevel="1">
      <c r="C256" s="203" t="str">
        <f t="array" ref="C256:C290">offers.segment.4</f>
        <v>SpareOfferD1</v>
      </c>
      <c r="D256" s="316"/>
      <c r="E256" s="316"/>
      <c r="F256" s="316"/>
      <c r="G256" s="316"/>
      <c r="H256" s="316"/>
      <c r="I256" s="316"/>
      <c r="J256" s="316"/>
      <c r="K256" s="316"/>
      <c r="L256" s="316"/>
      <c r="M256" s="316"/>
      <c r="N256" s="316"/>
      <c r="O256" s="316"/>
      <c r="P256" s="316"/>
      <c r="Q256" s="316"/>
      <c r="R256" s="316"/>
      <c r="S256" s="316"/>
      <c r="T256" s="316"/>
      <c r="U256" s="316"/>
      <c r="V256" s="316"/>
      <c r="W256" s="316"/>
      <c r="X256" s="316"/>
      <c r="Y256" s="316"/>
      <c r="Z256" s="316"/>
      <c r="AA256" s="316"/>
      <c r="AB256" s="316"/>
      <c r="AC256" s="316"/>
      <c r="AD256" s="316"/>
      <c r="AE256" s="316"/>
      <c r="AF256" s="316"/>
    </row>
    <row r="257" spans="3:32" hidden="1" outlineLevel="1">
      <c r="C257" s="203" t="str">
        <v>SpareOfferD2</v>
      </c>
      <c r="D257" s="316"/>
      <c r="E257" s="316"/>
      <c r="F257" s="316"/>
      <c r="G257" s="316"/>
      <c r="H257" s="316"/>
      <c r="I257" s="316"/>
      <c r="J257" s="316"/>
      <c r="K257" s="316"/>
      <c r="L257" s="316"/>
      <c r="M257" s="316"/>
      <c r="N257" s="316"/>
      <c r="O257" s="316"/>
      <c r="P257" s="316"/>
      <c r="Q257" s="316"/>
      <c r="R257" s="316"/>
      <c r="S257" s="316"/>
      <c r="T257" s="316"/>
      <c r="U257" s="316"/>
      <c r="V257" s="316"/>
      <c r="W257" s="316"/>
      <c r="X257" s="316"/>
      <c r="Y257" s="316"/>
      <c r="Z257" s="316"/>
      <c r="AA257" s="316"/>
      <c r="AB257" s="316"/>
      <c r="AC257" s="316"/>
      <c r="AD257" s="316"/>
      <c r="AE257" s="316"/>
      <c r="AF257" s="316"/>
    </row>
    <row r="258" spans="3:32" hidden="1" outlineLevel="1">
      <c r="C258" s="203" t="str">
        <v>SpareOfferD3</v>
      </c>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316"/>
      <c r="Z258" s="316"/>
      <c r="AA258" s="316"/>
      <c r="AB258" s="316"/>
      <c r="AC258" s="316"/>
      <c r="AD258" s="316"/>
      <c r="AE258" s="316"/>
      <c r="AF258" s="316"/>
    </row>
    <row r="259" spans="3:32" hidden="1" outlineLevel="1">
      <c r="C259" s="203" t="str">
        <v>SpareOfferD4</v>
      </c>
      <c r="D259" s="316"/>
      <c r="E259" s="316"/>
      <c r="F259" s="316"/>
      <c r="G259" s="316"/>
      <c r="H259" s="316"/>
      <c r="I259" s="316"/>
      <c r="J259" s="316"/>
      <c r="K259" s="316"/>
      <c r="L259" s="316"/>
      <c r="M259" s="316"/>
      <c r="N259" s="316"/>
      <c r="O259" s="316"/>
      <c r="P259" s="316"/>
      <c r="Q259" s="316"/>
      <c r="R259" s="316"/>
      <c r="S259" s="316"/>
      <c r="T259" s="316"/>
      <c r="U259" s="316"/>
      <c r="V259" s="316"/>
      <c r="W259" s="316"/>
      <c r="X259" s="316"/>
      <c r="Y259" s="316"/>
      <c r="Z259" s="316"/>
      <c r="AA259" s="316"/>
      <c r="AB259" s="316"/>
      <c r="AC259" s="316"/>
      <c r="AD259" s="316"/>
      <c r="AE259" s="316"/>
      <c r="AF259" s="316"/>
    </row>
    <row r="260" spans="3:32" hidden="1" outlineLevel="1">
      <c r="C260" s="203" t="str">
        <v>SpareOfferD5</v>
      </c>
      <c r="D260" s="316"/>
      <c r="E260" s="316"/>
      <c r="F260" s="316"/>
      <c r="G260" s="316"/>
      <c r="H260" s="316"/>
      <c r="I260" s="316"/>
      <c r="J260" s="316"/>
      <c r="K260" s="316"/>
      <c r="L260" s="316"/>
      <c r="M260" s="316"/>
      <c r="N260" s="316"/>
      <c r="O260" s="316"/>
      <c r="P260" s="316"/>
      <c r="Q260" s="316"/>
      <c r="R260" s="316"/>
      <c r="S260" s="316"/>
      <c r="T260" s="316"/>
      <c r="U260" s="316"/>
      <c r="V260" s="316"/>
      <c r="W260" s="316"/>
      <c r="X260" s="316"/>
      <c r="Y260" s="316"/>
      <c r="Z260" s="316"/>
      <c r="AA260" s="316"/>
      <c r="AB260" s="316"/>
      <c r="AC260" s="316"/>
      <c r="AD260" s="316"/>
      <c r="AE260" s="316"/>
      <c r="AF260" s="316"/>
    </row>
    <row r="261" spans="3:32" hidden="1" outlineLevel="1">
      <c r="C261" s="203" t="str">
        <v>SpareOfferD6</v>
      </c>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316"/>
      <c r="Z261" s="316"/>
      <c r="AA261" s="316"/>
      <c r="AB261" s="316"/>
      <c r="AC261" s="316"/>
      <c r="AD261" s="316"/>
      <c r="AE261" s="316"/>
      <c r="AF261" s="316"/>
    </row>
    <row r="262" spans="3:32" hidden="1" outlineLevel="1">
      <c r="C262" s="203" t="str">
        <v>SpareOfferD7</v>
      </c>
      <c r="D262" s="316"/>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c r="AA262" s="316"/>
      <c r="AB262" s="316"/>
      <c r="AC262" s="316"/>
      <c r="AD262" s="316"/>
      <c r="AE262" s="316"/>
      <c r="AF262" s="316"/>
    </row>
    <row r="263" spans="3:32" hidden="1" outlineLevel="1">
      <c r="C263" s="203" t="str">
        <v>SpareOfferD8</v>
      </c>
      <c r="D263" s="316"/>
      <c r="E263" s="316"/>
      <c r="F263" s="316"/>
      <c r="G263" s="316"/>
      <c r="H263" s="316"/>
      <c r="I263" s="316"/>
      <c r="J263" s="316"/>
      <c r="K263" s="316"/>
      <c r="L263" s="316"/>
      <c r="M263" s="316"/>
      <c r="N263" s="316"/>
      <c r="O263" s="316"/>
      <c r="P263" s="316"/>
      <c r="Q263" s="316"/>
      <c r="R263" s="316"/>
      <c r="S263" s="316"/>
      <c r="T263" s="316"/>
      <c r="U263" s="316"/>
      <c r="V263" s="316"/>
      <c r="W263" s="316"/>
      <c r="X263" s="316"/>
      <c r="Y263" s="316"/>
      <c r="Z263" s="316"/>
      <c r="AA263" s="316"/>
      <c r="AB263" s="316"/>
      <c r="AC263" s="316"/>
      <c r="AD263" s="316"/>
      <c r="AE263" s="316"/>
      <c r="AF263" s="316"/>
    </row>
    <row r="264" spans="3:32" hidden="1" outlineLevel="1">
      <c r="C264" s="203" t="str">
        <v>SpareOfferD9</v>
      </c>
      <c r="D264" s="316"/>
      <c r="E264" s="316"/>
      <c r="F264" s="316"/>
      <c r="G264" s="316"/>
      <c r="H264" s="316"/>
      <c r="I264" s="316"/>
      <c r="J264" s="316"/>
      <c r="K264" s="316"/>
      <c r="L264" s="316"/>
      <c r="M264" s="316"/>
      <c r="N264" s="316"/>
      <c r="O264" s="316"/>
      <c r="P264" s="316"/>
      <c r="Q264" s="316"/>
      <c r="R264" s="316"/>
      <c r="S264" s="316"/>
      <c r="T264" s="316"/>
      <c r="U264" s="316"/>
      <c r="V264" s="316"/>
      <c r="W264" s="316"/>
      <c r="X264" s="316"/>
      <c r="Y264" s="316"/>
      <c r="Z264" s="316"/>
      <c r="AA264" s="316"/>
      <c r="AB264" s="316"/>
      <c r="AC264" s="316"/>
      <c r="AD264" s="316"/>
      <c r="AE264" s="316"/>
      <c r="AF264" s="316"/>
    </row>
    <row r="265" spans="3:32" hidden="1" outlineLevel="1">
      <c r="C265" s="203" t="str">
        <v>SpareOfferD10</v>
      </c>
      <c r="D265" s="316"/>
      <c r="E265" s="316"/>
      <c r="F265" s="316"/>
      <c r="G265" s="316"/>
      <c r="H265" s="316"/>
      <c r="I265" s="316"/>
      <c r="J265" s="316"/>
      <c r="K265" s="316"/>
      <c r="L265" s="316"/>
      <c r="M265" s="316"/>
      <c r="N265" s="316"/>
      <c r="O265" s="316"/>
      <c r="P265" s="316"/>
      <c r="Q265" s="316"/>
      <c r="R265" s="316"/>
      <c r="S265" s="316"/>
      <c r="T265" s="316"/>
      <c r="U265" s="316"/>
      <c r="V265" s="316"/>
      <c r="W265" s="316"/>
      <c r="X265" s="316"/>
      <c r="Y265" s="316"/>
      <c r="Z265" s="316"/>
      <c r="AA265" s="316"/>
      <c r="AB265" s="316"/>
      <c r="AC265" s="316"/>
      <c r="AD265" s="316"/>
      <c r="AE265" s="316"/>
      <c r="AF265" s="316"/>
    </row>
    <row r="266" spans="3:32" hidden="1" outlineLevel="1">
      <c r="C266" s="203" t="str">
        <v>SpareOfferD11</v>
      </c>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316"/>
      <c r="Z266" s="316"/>
      <c r="AA266" s="316"/>
      <c r="AB266" s="316"/>
      <c r="AC266" s="316"/>
      <c r="AD266" s="316"/>
      <c r="AE266" s="316"/>
      <c r="AF266" s="316"/>
    </row>
    <row r="267" spans="3:32" hidden="1" outlineLevel="1">
      <c r="C267" s="203" t="str">
        <v>SpareOfferD12</v>
      </c>
      <c r="D267" s="316"/>
      <c r="E267" s="316"/>
      <c r="F267" s="316"/>
      <c r="G267" s="316"/>
      <c r="H267" s="316"/>
      <c r="I267" s="316"/>
      <c r="J267" s="316"/>
      <c r="K267" s="316"/>
      <c r="L267" s="316"/>
      <c r="M267" s="316"/>
      <c r="N267" s="316"/>
      <c r="O267" s="316"/>
      <c r="P267" s="316"/>
      <c r="Q267" s="316"/>
      <c r="R267" s="316"/>
      <c r="S267" s="316"/>
      <c r="T267" s="316"/>
      <c r="U267" s="316"/>
      <c r="V267" s="316"/>
      <c r="W267" s="316"/>
      <c r="X267" s="316"/>
      <c r="Y267" s="316"/>
      <c r="Z267" s="316"/>
      <c r="AA267" s="316"/>
      <c r="AB267" s="316"/>
      <c r="AC267" s="316"/>
      <c r="AD267" s="316"/>
      <c r="AE267" s="316"/>
      <c r="AF267" s="316"/>
    </row>
    <row r="268" spans="3:32" hidden="1" outlineLevel="1">
      <c r="C268" s="203" t="str">
        <v>SpareOfferD13</v>
      </c>
      <c r="D268" s="316"/>
      <c r="E268" s="316"/>
      <c r="F268" s="316"/>
      <c r="G268" s="316"/>
      <c r="H268" s="316"/>
      <c r="I268" s="316"/>
      <c r="J268" s="316"/>
      <c r="K268" s="316"/>
      <c r="L268" s="316"/>
      <c r="M268" s="316"/>
      <c r="N268" s="316"/>
      <c r="O268" s="316"/>
      <c r="P268" s="316"/>
      <c r="Q268" s="316"/>
      <c r="R268" s="316"/>
      <c r="S268" s="316"/>
      <c r="T268" s="316"/>
      <c r="U268" s="316"/>
      <c r="V268" s="316"/>
      <c r="W268" s="316"/>
      <c r="X268" s="316"/>
      <c r="Y268" s="316"/>
      <c r="Z268" s="316"/>
      <c r="AA268" s="316"/>
      <c r="AB268" s="316"/>
      <c r="AC268" s="316"/>
      <c r="AD268" s="316"/>
      <c r="AE268" s="316"/>
      <c r="AF268" s="316"/>
    </row>
    <row r="269" spans="3:32" hidden="1" outlineLevel="1">
      <c r="C269" s="203" t="str">
        <v>SpareOfferD14</v>
      </c>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316"/>
      <c r="Z269" s="316"/>
      <c r="AA269" s="316"/>
      <c r="AB269" s="316"/>
      <c r="AC269" s="316"/>
      <c r="AD269" s="316"/>
      <c r="AE269" s="316"/>
      <c r="AF269" s="316"/>
    </row>
    <row r="270" spans="3:32" hidden="1" outlineLevel="1">
      <c r="C270" s="203" t="str">
        <v>SpareOfferD15</v>
      </c>
      <c r="D270" s="316"/>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c r="AA270" s="316"/>
      <c r="AB270" s="316"/>
      <c r="AC270" s="316"/>
      <c r="AD270" s="316"/>
      <c r="AE270" s="316"/>
      <c r="AF270" s="316"/>
    </row>
    <row r="271" spans="3:32" hidden="1" outlineLevel="1">
      <c r="C271" s="203" t="str">
        <v>SpareOfferD16</v>
      </c>
      <c r="D271" s="316"/>
      <c r="E271" s="316"/>
      <c r="F271" s="316"/>
      <c r="G271" s="316"/>
      <c r="H271" s="316"/>
      <c r="I271" s="316"/>
      <c r="J271" s="316"/>
      <c r="K271" s="316"/>
      <c r="L271" s="316"/>
      <c r="M271" s="316"/>
      <c r="N271" s="316"/>
      <c r="O271" s="316"/>
      <c r="P271" s="316"/>
      <c r="Q271" s="316"/>
      <c r="R271" s="316"/>
      <c r="S271" s="316"/>
      <c r="T271" s="316"/>
      <c r="U271" s="316"/>
      <c r="V271" s="316"/>
      <c r="W271" s="316"/>
      <c r="X271" s="316"/>
      <c r="Y271" s="316"/>
      <c r="Z271" s="316"/>
      <c r="AA271" s="316"/>
      <c r="AB271" s="316"/>
      <c r="AC271" s="316"/>
      <c r="AD271" s="316"/>
      <c r="AE271" s="316"/>
      <c r="AF271" s="316"/>
    </row>
    <row r="272" spans="3:32" hidden="1" outlineLevel="1">
      <c r="C272" s="203" t="str">
        <v>SpareOfferD17</v>
      </c>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316"/>
      <c r="Z272" s="316"/>
      <c r="AA272" s="316"/>
      <c r="AB272" s="316"/>
      <c r="AC272" s="316"/>
      <c r="AD272" s="316"/>
      <c r="AE272" s="316"/>
      <c r="AF272" s="316"/>
    </row>
    <row r="273" spans="3:32" hidden="1" outlineLevel="1">
      <c r="C273" s="203" t="str">
        <v>SpareOfferD18</v>
      </c>
      <c r="D273" s="316"/>
      <c r="E273" s="316"/>
      <c r="F273" s="316"/>
      <c r="G273" s="316"/>
      <c r="H273" s="316"/>
      <c r="I273" s="316"/>
      <c r="J273" s="316"/>
      <c r="K273" s="316"/>
      <c r="L273" s="316"/>
      <c r="M273" s="316"/>
      <c r="N273" s="316"/>
      <c r="O273" s="316"/>
      <c r="P273" s="316"/>
      <c r="Q273" s="316"/>
      <c r="R273" s="316"/>
      <c r="S273" s="316"/>
      <c r="T273" s="316"/>
      <c r="U273" s="316"/>
      <c r="V273" s="316"/>
      <c r="W273" s="316"/>
      <c r="X273" s="316"/>
      <c r="Y273" s="316"/>
      <c r="Z273" s="316"/>
      <c r="AA273" s="316"/>
      <c r="AB273" s="316"/>
      <c r="AC273" s="316"/>
      <c r="AD273" s="316"/>
      <c r="AE273" s="316"/>
      <c r="AF273" s="316"/>
    </row>
    <row r="274" spans="3:32" hidden="1" outlineLevel="1">
      <c r="C274" s="203" t="str">
        <v>SpareOfferD19</v>
      </c>
      <c r="D274" s="316"/>
      <c r="E274" s="316"/>
      <c r="F274" s="316"/>
      <c r="G274" s="316"/>
      <c r="H274" s="316"/>
      <c r="I274" s="316"/>
      <c r="J274" s="316"/>
      <c r="K274" s="316"/>
      <c r="L274" s="316"/>
      <c r="M274" s="316"/>
      <c r="N274" s="316"/>
      <c r="O274" s="316"/>
      <c r="P274" s="316"/>
      <c r="Q274" s="316"/>
      <c r="R274" s="316"/>
      <c r="S274" s="316"/>
      <c r="T274" s="316"/>
      <c r="U274" s="316"/>
      <c r="V274" s="316"/>
      <c r="W274" s="316"/>
      <c r="X274" s="316"/>
      <c r="Y274" s="316"/>
      <c r="Z274" s="316"/>
      <c r="AA274" s="316"/>
      <c r="AB274" s="316"/>
      <c r="AC274" s="316"/>
      <c r="AD274" s="316"/>
      <c r="AE274" s="316"/>
      <c r="AF274" s="316"/>
    </row>
    <row r="275" spans="3:32" hidden="1" outlineLevel="1">
      <c r="C275" s="203" t="str">
        <v>SpareOfferD20</v>
      </c>
      <c r="D275" s="316"/>
      <c r="E275" s="316"/>
      <c r="F275" s="316"/>
      <c r="G275" s="316"/>
      <c r="H275" s="316"/>
      <c r="I275" s="316"/>
      <c r="J275" s="316"/>
      <c r="K275" s="316"/>
      <c r="L275" s="316"/>
      <c r="M275" s="316"/>
      <c r="N275" s="316"/>
      <c r="O275" s="316"/>
      <c r="P275" s="316"/>
      <c r="Q275" s="316"/>
      <c r="R275" s="316"/>
      <c r="S275" s="316"/>
      <c r="T275" s="316"/>
      <c r="U275" s="316"/>
      <c r="V275" s="316"/>
      <c r="W275" s="316"/>
      <c r="X275" s="316"/>
      <c r="Y275" s="316"/>
      <c r="Z275" s="316"/>
      <c r="AA275" s="316"/>
      <c r="AB275" s="316"/>
      <c r="AC275" s="316"/>
      <c r="AD275" s="316"/>
      <c r="AE275" s="316"/>
      <c r="AF275" s="316"/>
    </row>
    <row r="276" spans="3:32" hidden="1" outlineLevel="1">
      <c r="C276" s="203" t="str">
        <v>SpareOfferD21</v>
      </c>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316"/>
      <c r="Z276" s="316"/>
      <c r="AA276" s="316"/>
      <c r="AB276" s="316"/>
      <c r="AC276" s="316"/>
      <c r="AD276" s="316"/>
      <c r="AE276" s="316"/>
      <c r="AF276" s="316"/>
    </row>
    <row r="277" spans="3:32" hidden="1" outlineLevel="1">
      <c r="C277" s="203" t="str">
        <v>SpareOfferD22</v>
      </c>
      <c r="D277" s="316"/>
      <c r="E277" s="316"/>
      <c r="F277" s="316"/>
      <c r="G277" s="316"/>
      <c r="H277" s="316"/>
      <c r="I277" s="316"/>
      <c r="J277" s="316"/>
      <c r="K277" s="316"/>
      <c r="L277" s="316"/>
      <c r="M277" s="316"/>
      <c r="N277" s="316"/>
      <c r="O277" s="316"/>
      <c r="P277" s="316"/>
      <c r="Q277" s="316"/>
      <c r="R277" s="316"/>
      <c r="S277" s="316"/>
      <c r="T277" s="316"/>
      <c r="U277" s="316"/>
      <c r="V277" s="316"/>
      <c r="W277" s="316"/>
      <c r="X277" s="316"/>
      <c r="Y277" s="316"/>
      <c r="Z277" s="316"/>
      <c r="AA277" s="316"/>
      <c r="AB277" s="316"/>
      <c r="AC277" s="316"/>
      <c r="AD277" s="316"/>
      <c r="AE277" s="316"/>
      <c r="AF277" s="316"/>
    </row>
    <row r="278" spans="3:32" hidden="1" outlineLevel="1">
      <c r="C278" s="203" t="str">
        <v>SpareOfferD23</v>
      </c>
      <c r="D278" s="316"/>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c r="AA278" s="316"/>
      <c r="AB278" s="316"/>
      <c r="AC278" s="316"/>
      <c r="AD278" s="316"/>
      <c r="AE278" s="316"/>
      <c r="AF278" s="316"/>
    </row>
    <row r="279" spans="3:32" hidden="1" outlineLevel="1">
      <c r="C279" s="203" t="str">
        <v>SpareOfferD24</v>
      </c>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316"/>
      <c r="Z279" s="316"/>
      <c r="AA279" s="316"/>
      <c r="AB279" s="316"/>
      <c r="AC279" s="316"/>
      <c r="AD279" s="316"/>
      <c r="AE279" s="316"/>
      <c r="AF279" s="316"/>
    </row>
    <row r="280" spans="3:32" hidden="1" outlineLevel="1">
      <c r="C280" s="203" t="str">
        <v>SpareOfferD25</v>
      </c>
      <c r="D280" s="316"/>
      <c r="E280" s="316"/>
      <c r="F280" s="316"/>
      <c r="G280" s="316"/>
      <c r="H280" s="316"/>
      <c r="I280" s="316"/>
      <c r="J280" s="316"/>
      <c r="K280" s="316"/>
      <c r="L280" s="316"/>
      <c r="M280" s="316"/>
      <c r="N280" s="316"/>
      <c r="O280" s="316"/>
      <c r="P280" s="316"/>
      <c r="Q280" s="316"/>
      <c r="R280" s="316"/>
      <c r="S280" s="316"/>
      <c r="T280" s="316"/>
      <c r="U280" s="316"/>
      <c r="V280" s="316"/>
      <c r="W280" s="316"/>
      <c r="X280" s="316"/>
      <c r="Y280" s="316"/>
      <c r="Z280" s="316"/>
      <c r="AA280" s="316"/>
      <c r="AB280" s="316"/>
      <c r="AC280" s="316"/>
      <c r="AD280" s="316"/>
      <c r="AE280" s="316"/>
      <c r="AF280" s="316"/>
    </row>
    <row r="281" spans="3:32" hidden="1" outlineLevel="1">
      <c r="C281" s="203" t="str">
        <v>SpareOfferD26</v>
      </c>
      <c r="D281" s="316"/>
      <c r="E281" s="316"/>
      <c r="F281" s="316"/>
      <c r="G281" s="316"/>
      <c r="H281" s="316"/>
      <c r="I281" s="316"/>
      <c r="J281" s="316"/>
      <c r="K281" s="316"/>
      <c r="L281" s="316"/>
      <c r="M281" s="316"/>
      <c r="N281" s="316"/>
      <c r="O281" s="316"/>
      <c r="P281" s="316"/>
      <c r="Q281" s="316"/>
      <c r="R281" s="316"/>
      <c r="S281" s="316"/>
      <c r="T281" s="316"/>
      <c r="U281" s="316"/>
      <c r="V281" s="316"/>
      <c r="W281" s="316"/>
      <c r="X281" s="316"/>
      <c r="Y281" s="316"/>
      <c r="Z281" s="316"/>
      <c r="AA281" s="316"/>
      <c r="AB281" s="316"/>
      <c r="AC281" s="316"/>
      <c r="AD281" s="316"/>
      <c r="AE281" s="316"/>
      <c r="AF281" s="316"/>
    </row>
    <row r="282" spans="3:32" hidden="1" outlineLevel="1">
      <c r="C282" s="203" t="str">
        <v>SpareOfferD27</v>
      </c>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316"/>
      <c r="Z282" s="316"/>
      <c r="AA282" s="316"/>
      <c r="AB282" s="316"/>
      <c r="AC282" s="316"/>
      <c r="AD282" s="316"/>
      <c r="AE282" s="316"/>
      <c r="AF282" s="316"/>
    </row>
    <row r="283" spans="3:32" hidden="1" outlineLevel="1">
      <c r="C283" s="203" t="str">
        <v>SpareOfferD28</v>
      </c>
      <c r="D283" s="316"/>
      <c r="E283" s="316"/>
      <c r="F283" s="316"/>
      <c r="G283" s="316"/>
      <c r="H283" s="316"/>
      <c r="I283" s="316"/>
      <c r="J283" s="316"/>
      <c r="K283" s="316"/>
      <c r="L283" s="316"/>
      <c r="M283" s="316"/>
      <c r="N283" s="316"/>
      <c r="O283" s="316"/>
      <c r="P283" s="316"/>
      <c r="Q283" s="316"/>
      <c r="R283" s="316"/>
      <c r="S283" s="316"/>
      <c r="T283" s="316"/>
      <c r="U283" s="316"/>
      <c r="V283" s="316"/>
      <c r="W283" s="316"/>
      <c r="X283" s="316"/>
      <c r="Y283" s="316"/>
      <c r="Z283" s="316"/>
      <c r="AA283" s="316"/>
      <c r="AB283" s="316"/>
      <c r="AC283" s="316"/>
      <c r="AD283" s="316"/>
      <c r="AE283" s="316"/>
      <c r="AF283" s="316"/>
    </row>
    <row r="284" spans="3:32" hidden="1" outlineLevel="1">
      <c r="C284" s="203" t="str">
        <v>SpareOfferD29</v>
      </c>
      <c r="D284" s="316"/>
      <c r="E284" s="316"/>
      <c r="F284" s="316"/>
      <c r="G284" s="316"/>
      <c r="H284" s="316"/>
      <c r="I284" s="316"/>
      <c r="J284" s="316"/>
      <c r="K284" s="316"/>
      <c r="L284" s="316"/>
      <c r="M284" s="316"/>
      <c r="N284" s="316"/>
      <c r="O284" s="316"/>
      <c r="P284" s="316"/>
      <c r="Q284" s="316"/>
      <c r="R284" s="316"/>
      <c r="S284" s="316"/>
      <c r="T284" s="316"/>
      <c r="U284" s="316"/>
      <c r="V284" s="316"/>
      <c r="W284" s="316"/>
      <c r="X284" s="316"/>
      <c r="Y284" s="316"/>
      <c r="Z284" s="316"/>
      <c r="AA284" s="316"/>
      <c r="AB284" s="316"/>
      <c r="AC284" s="316"/>
      <c r="AD284" s="316"/>
      <c r="AE284" s="316"/>
      <c r="AF284" s="316"/>
    </row>
    <row r="285" spans="3:32" hidden="1" outlineLevel="1">
      <c r="C285" s="203" t="str">
        <v>SpareOfferD30</v>
      </c>
      <c r="D285" s="316"/>
      <c r="E285" s="316"/>
      <c r="F285" s="316"/>
      <c r="G285" s="316"/>
      <c r="H285" s="316"/>
      <c r="I285" s="316"/>
      <c r="J285" s="316"/>
      <c r="K285" s="316"/>
      <c r="L285" s="316"/>
      <c r="M285" s="316"/>
      <c r="N285" s="316"/>
      <c r="O285" s="316"/>
      <c r="P285" s="316"/>
      <c r="Q285" s="316"/>
      <c r="R285" s="316"/>
      <c r="S285" s="316"/>
      <c r="T285" s="316"/>
      <c r="U285" s="316"/>
      <c r="V285" s="316"/>
      <c r="W285" s="316"/>
      <c r="X285" s="316"/>
      <c r="Y285" s="316"/>
      <c r="Z285" s="316"/>
      <c r="AA285" s="316"/>
      <c r="AB285" s="316"/>
      <c r="AC285" s="316"/>
      <c r="AD285" s="316"/>
      <c r="AE285" s="316"/>
      <c r="AF285" s="316"/>
    </row>
    <row r="286" spans="3:32" hidden="1" outlineLevel="1">
      <c r="C286" s="203" t="str">
        <v>SpareOfferD31</v>
      </c>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c r="AA286" s="316"/>
      <c r="AB286" s="316"/>
      <c r="AC286" s="316"/>
      <c r="AD286" s="316"/>
      <c r="AE286" s="316"/>
      <c r="AF286" s="316"/>
    </row>
    <row r="287" spans="3:32" hidden="1" outlineLevel="1">
      <c r="C287" s="203" t="str">
        <v>SpareOfferD32</v>
      </c>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316"/>
      <c r="Z287" s="316"/>
      <c r="AA287" s="316"/>
      <c r="AB287" s="316"/>
      <c r="AC287" s="316"/>
      <c r="AD287" s="316"/>
      <c r="AE287" s="316"/>
      <c r="AF287" s="316"/>
    </row>
    <row r="288" spans="3:32" hidden="1" outlineLevel="1">
      <c r="C288" s="203" t="str">
        <v>SpareOfferD33</v>
      </c>
      <c r="D288" s="316"/>
      <c r="E288" s="316"/>
      <c r="F288" s="316"/>
      <c r="G288" s="316"/>
      <c r="H288" s="316"/>
      <c r="I288" s="316"/>
      <c r="J288" s="316"/>
      <c r="K288" s="316"/>
      <c r="L288" s="316"/>
      <c r="M288" s="316"/>
      <c r="N288" s="316"/>
      <c r="O288" s="316"/>
      <c r="P288" s="316"/>
      <c r="Q288" s="316"/>
      <c r="R288" s="316"/>
      <c r="S288" s="316"/>
      <c r="T288" s="316"/>
      <c r="U288" s="316"/>
      <c r="V288" s="316"/>
      <c r="W288" s="316"/>
      <c r="X288" s="316"/>
      <c r="Y288" s="316"/>
      <c r="Z288" s="316"/>
      <c r="AA288" s="316"/>
      <c r="AB288" s="316"/>
      <c r="AC288" s="316"/>
      <c r="AD288" s="316"/>
      <c r="AE288" s="316"/>
      <c r="AF288" s="316"/>
    </row>
    <row r="289" spans="3:33" hidden="1" outlineLevel="1">
      <c r="C289" s="203" t="str">
        <v>SpareOfferD34</v>
      </c>
      <c r="D289" s="316"/>
      <c r="E289" s="316"/>
      <c r="F289" s="316"/>
      <c r="G289" s="316"/>
      <c r="H289" s="316"/>
      <c r="I289" s="316"/>
      <c r="J289" s="316"/>
      <c r="K289" s="316"/>
      <c r="L289" s="316"/>
      <c r="M289" s="316"/>
      <c r="N289" s="316"/>
      <c r="O289" s="316"/>
      <c r="P289" s="316"/>
      <c r="Q289" s="316"/>
      <c r="R289" s="316"/>
      <c r="S289" s="316"/>
      <c r="T289" s="316"/>
      <c r="U289" s="316"/>
      <c r="V289" s="316"/>
      <c r="W289" s="316"/>
      <c r="X289" s="316"/>
      <c r="Y289" s="316"/>
      <c r="Z289" s="316"/>
      <c r="AA289" s="316"/>
      <c r="AB289" s="316"/>
      <c r="AC289" s="316"/>
      <c r="AD289" s="316"/>
      <c r="AE289" s="316"/>
      <c r="AF289" s="316"/>
    </row>
    <row r="290" spans="3:33" collapsed="1">
      <c r="C290" s="203" t="str">
        <v>-</v>
      </c>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316"/>
      <c r="Z290" s="316"/>
      <c r="AA290" s="316"/>
      <c r="AB290" s="316"/>
      <c r="AC290" s="316"/>
      <c r="AD290" s="316"/>
      <c r="AE290" s="316"/>
      <c r="AF290" s="316"/>
    </row>
    <row r="291" spans="3:33" ht="12">
      <c r="C291" s="204"/>
      <c r="E291" s="204"/>
      <c r="F291" s="204"/>
      <c r="G291" s="204"/>
      <c r="H291" s="204"/>
      <c r="I291" s="204"/>
      <c r="J291" s="204"/>
      <c r="K291" s="204"/>
      <c r="L291" s="204"/>
      <c r="M291" s="204"/>
      <c r="N291" s="204"/>
      <c r="O291" s="204"/>
      <c r="P291" s="204"/>
      <c r="Q291" s="204"/>
      <c r="R291" s="205"/>
      <c r="S291" s="205"/>
      <c r="T291" s="205"/>
      <c r="U291" s="205"/>
      <c r="V291" s="202"/>
      <c r="W291" s="202"/>
      <c r="X291" s="202"/>
      <c r="Y291" s="202"/>
      <c r="Z291" s="202"/>
      <c r="AA291" s="202"/>
      <c r="AB291" s="202"/>
      <c r="AG291" s="43" t="s">
        <v>465</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autoPageBreaks="0"/>
  </sheetPr>
  <dimension ref="A1:BU247"/>
  <sheetViews>
    <sheetView showGridLines="0" defaultGridColor="0" colorId="22" zoomScaleNormal="100" workbookViewId="0">
      <pane xSplit="4" ySplit="2" topLeftCell="E3" activePane="bottomRight" state="frozen"/>
      <selection pane="topRight"/>
      <selection pane="bottomLeft"/>
      <selection pane="bottomRight"/>
    </sheetView>
  </sheetViews>
  <sheetFormatPr baseColWidth="10" defaultColWidth="12.69921875" defaultRowHeight="11.5" outlineLevelRow="2"/>
  <cols>
    <col min="1" max="1" width="6.69921875" customWidth="1"/>
    <col min="2" max="2" width="4.09765625" customWidth="1"/>
    <col min="3" max="3" width="26.09765625" customWidth="1"/>
    <col min="4" max="4" width="8.09765625" customWidth="1"/>
    <col min="5" max="5" width="6.09765625" customWidth="1"/>
    <col min="6" max="6" width="12.69921875" customWidth="1"/>
    <col min="10" max="11" width="16.19921875" customWidth="1"/>
    <col min="13" max="13" width="17.09765625" customWidth="1"/>
    <col min="17" max="17" width="16.09765625" customWidth="1"/>
  </cols>
  <sheetData>
    <row r="1" spans="1:14" s="84" customFormat="1" ht="33.75" customHeight="1">
      <c r="E1" s="84" t="s">
        <v>278</v>
      </c>
    </row>
    <row r="2" spans="1:14" ht="12">
      <c r="A2" s="91" t="s">
        <v>284</v>
      </c>
      <c r="D2" s="96" t="str">
        <f>wholesale.offer.selected</f>
        <v>Spare offer 1</v>
      </c>
      <c r="E2" s="129">
        <f>MATCH(D2, wholesale.offers, 0)</f>
        <v>1</v>
      </c>
      <c r="F2" s="43" t="s">
        <v>285</v>
      </c>
    </row>
    <row r="4" spans="1:14" ht="15.5">
      <c r="A4" s="36" t="s">
        <v>180</v>
      </c>
    </row>
    <row r="6" spans="1:14">
      <c r="B6" s="35" t="s">
        <v>146</v>
      </c>
    </row>
    <row r="7" spans="1:14" outlineLevel="1"/>
    <row r="8" spans="1:14" outlineLevel="1">
      <c r="F8" s="151" t="s">
        <v>321</v>
      </c>
      <c r="H8" s="152" t="s">
        <v>323</v>
      </c>
      <c r="I8" s="152"/>
      <c r="J8" s="152"/>
      <c r="K8" s="152"/>
      <c r="L8" s="152"/>
      <c r="M8" s="152"/>
    </row>
    <row r="9" spans="1:14" ht="34.5" outlineLevel="1">
      <c r="C9" s="98" t="s">
        <v>175</v>
      </c>
      <c r="F9" s="120" t="s">
        <v>322</v>
      </c>
      <c r="H9" s="121" t="s">
        <v>287</v>
      </c>
      <c r="I9" s="121" t="s">
        <v>286</v>
      </c>
      <c r="J9" s="121" t="s">
        <v>178</v>
      </c>
      <c r="K9" s="121" t="s">
        <v>291</v>
      </c>
      <c r="L9" s="121" t="s">
        <v>181</v>
      </c>
      <c r="M9" s="121" t="s">
        <v>289</v>
      </c>
    </row>
    <row r="10" spans="1:14" outlineLevel="1">
      <c r="C10" s="98"/>
      <c r="F10" s="95" t="s">
        <v>288</v>
      </c>
      <c r="G10" s="91"/>
      <c r="H10" s="95" t="s">
        <v>205</v>
      </c>
      <c r="I10" s="95" t="s">
        <v>288</v>
      </c>
      <c r="J10" s="95" t="s">
        <v>205</v>
      </c>
      <c r="K10" s="95" t="s">
        <v>288</v>
      </c>
      <c r="L10" s="95" t="s">
        <v>168</v>
      </c>
      <c r="M10" s="95" t="s">
        <v>204</v>
      </c>
    </row>
    <row r="11" spans="1:14" ht="12" outlineLevel="1">
      <c r="C11" s="98" t="s">
        <v>283</v>
      </c>
      <c r="F11" s="134">
        <f>INDEX(F12:F31,Current.ws.offer)</f>
        <v>0</v>
      </c>
      <c r="G11" s="43" t="s">
        <v>324</v>
      </c>
      <c r="H11" s="134">
        <f t="shared" ref="H11:M11" si="0">INDEX(H12:H31,Current.ws.offer)</f>
        <v>0</v>
      </c>
      <c r="I11" s="134">
        <f t="shared" si="0"/>
        <v>0</v>
      </c>
      <c r="J11" s="134">
        <f t="shared" si="0"/>
        <v>0</v>
      </c>
      <c r="K11" s="134">
        <f t="shared" si="0"/>
        <v>0</v>
      </c>
      <c r="L11" s="134">
        <f t="shared" si="0"/>
        <v>0</v>
      </c>
      <c r="M11" s="134">
        <f t="shared" si="0"/>
        <v>0</v>
      </c>
      <c r="N11" s="43" t="s">
        <v>294</v>
      </c>
    </row>
    <row r="12" spans="1:14" ht="12.75" customHeight="1" outlineLevel="1">
      <c r="C12" s="208" t="str">
        <f t="array" ref="C12:C31">wholesale.offers</f>
        <v>Spare offer 1</v>
      </c>
      <c r="F12" s="319"/>
      <c r="H12" s="319"/>
      <c r="I12" s="319"/>
      <c r="J12" s="319"/>
      <c r="K12" s="319"/>
      <c r="L12" s="319"/>
      <c r="M12" s="319"/>
    </row>
    <row r="13" spans="1:14" hidden="1" outlineLevel="2">
      <c r="C13" s="208" t="str">
        <v>Spare offer 2</v>
      </c>
      <c r="F13" s="319"/>
      <c r="H13" s="319"/>
      <c r="I13" s="319"/>
      <c r="J13" s="319"/>
      <c r="K13" s="319"/>
      <c r="L13" s="319"/>
      <c r="M13" s="319"/>
    </row>
    <row r="14" spans="1:14" hidden="1" outlineLevel="2">
      <c r="C14" s="208" t="str">
        <v>Spare offer 3</v>
      </c>
      <c r="F14" s="319"/>
      <c r="H14" s="319"/>
      <c r="I14" s="319"/>
      <c r="J14" s="319"/>
      <c r="K14" s="319"/>
      <c r="L14" s="319"/>
      <c r="M14" s="319"/>
    </row>
    <row r="15" spans="1:14" hidden="1" outlineLevel="2">
      <c r="C15" s="208" t="str">
        <v>Spare offer 4</v>
      </c>
      <c r="F15" s="319"/>
      <c r="H15" s="319"/>
      <c r="I15" s="319"/>
      <c r="J15" s="319"/>
      <c r="K15" s="319"/>
      <c r="L15" s="319"/>
      <c r="M15" s="319"/>
    </row>
    <row r="16" spans="1:14" hidden="1" outlineLevel="2">
      <c r="C16" s="208" t="str">
        <v>Spare offer 5</v>
      </c>
      <c r="F16" s="319"/>
      <c r="H16" s="319"/>
      <c r="I16" s="319"/>
      <c r="J16" s="319"/>
      <c r="K16" s="319"/>
      <c r="L16" s="319"/>
      <c r="M16" s="319"/>
      <c r="N16" s="243"/>
    </row>
    <row r="17" spans="3:13" hidden="1" outlineLevel="2">
      <c r="C17" s="208" t="str">
        <v>Spare offer 6</v>
      </c>
      <c r="F17" s="319"/>
      <c r="H17" s="319"/>
      <c r="I17" s="319"/>
      <c r="J17" s="319"/>
      <c r="K17" s="319"/>
      <c r="L17" s="319"/>
      <c r="M17" s="319"/>
    </row>
    <row r="18" spans="3:13" hidden="1" outlineLevel="2">
      <c r="C18" s="208" t="str">
        <v>Spare offer 7</v>
      </c>
      <c r="F18" s="319"/>
      <c r="H18" s="319"/>
      <c r="I18" s="319"/>
      <c r="J18" s="319"/>
      <c r="K18" s="319"/>
      <c r="L18" s="319"/>
      <c r="M18" s="319"/>
    </row>
    <row r="19" spans="3:13" hidden="1" outlineLevel="2">
      <c r="C19" s="208" t="str">
        <v>Spare offer 8</v>
      </c>
      <c r="F19" s="319"/>
      <c r="H19" s="319"/>
      <c r="I19" s="319"/>
      <c r="J19" s="319"/>
      <c r="K19" s="319"/>
      <c r="L19" s="319"/>
      <c r="M19" s="319"/>
    </row>
    <row r="20" spans="3:13" hidden="1" outlineLevel="2">
      <c r="C20" s="208" t="str">
        <v>Spare offer 9</v>
      </c>
      <c r="F20" s="319"/>
      <c r="H20" s="319"/>
      <c r="I20" s="319"/>
      <c r="J20" s="319"/>
      <c r="K20" s="319"/>
      <c r="L20" s="319"/>
      <c r="M20" s="319"/>
    </row>
    <row r="21" spans="3:13" hidden="1" outlineLevel="2">
      <c r="C21" s="208" t="str">
        <v>Spare offer 10</v>
      </c>
      <c r="F21" s="319"/>
      <c r="H21" s="319"/>
      <c r="I21" s="319"/>
      <c r="J21" s="319"/>
      <c r="K21" s="319"/>
      <c r="L21" s="319"/>
      <c r="M21" s="319"/>
    </row>
    <row r="22" spans="3:13" hidden="1" outlineLevel="2">
      <c r="C22" s="208" t="str">
        <v>Spare offer 11</v>
      </c>
      <c r="F22" s="319"/>
      <c r="H22" s="319"/>
      <c r="I22" s="319"/>
      <c r="J22" s="319"/>
      <c r="K22" s="319"/>
      <c r="L22" s="319"/>
      <c r="M22" s="319"/>
    </row>
    <row r="23" spans="3:13" hidden="1" outlineLevel="2">
      <c r="C23" s="208" t="str">
        <v>Spare offer 12</v>
      </c>
      <c r="F23" s="319"/>
      <c r="H23" s="319"/>
      <c r="I23" s="319"/>
      <c r="J23" s="319"/>
      <c r="K23" s="319"/>
      <c r="L23" s="319"/>
      <c r="M23" s="319"/>
    </row>
    <row r="24" spans="3:13" hidden="1" outlineLevel="2">
      <c r="C24" s="208" t="str">
        <v>Spare offer 13</v>
      </c>
      <c r="F24" s="319"/>
      <c r="H24" s="319"/>
      <c r="I24" s="319"/>
      <c r="J24" s="319"/>
      <c r="K24" s="319"/>
      <c r="L24" s="319"/>
      <c r="M24" s="319"/>
    </row>
    <row r="25" spans="3:13" hidden="1" outlineLevel="2">
      <c r="C25" s="208" t="str">
        <v>Spare offer 14</v>
      </c>
      <c r="F25" s="319"/>
      <c r="H25" s="319"/>
      <c r="I25" s="319"/>
      <c r="J25" s="319"/>
      <c r="K25" s="319"/>
      <c r="L25" s="319"/>
      <c r="M25" s="319"/>
    </row>
    <row r="26" spans="3:13" hidden="1" outlineLevel="2">
      <c r="C26" s="208" t="str">
        <v>Spare offer 15</v>
      </c>
      <c r="F26" s="319"/>
      <c r="H26" s="319"/>
      <c r="I26" s="319"/>
      <c r="J26" s="319"/>
      <c r="K26" s="319"/>
      <c r="L26" s="319"/>
      <c r="M26" s="319"/>
    </row>
    <row r="27" spans="3:13" hidden="1" outlineLevel="2">
      <c r="C27" s="208" t="str">
        <v>Spare offer 16</v>
      </c>
      <c r="F27" s="319"/>
      <c r="H27" s="319"/>
      <c r="I27" s="319"/>
      <c r="J27" s="319"/>
      <c r="K27" s="319"/>
      <c r="L27" s="319"/>
      <c r="M27" s="319"/>
    </row>
    <row r="28" spans="3:13" hidden="1" outlineLevel="2">
      <c r="C28" s="208" t="str">
        <v>Spare offer 17</v>
      </c>
      <c r="F28" s="319"/>
      <c r="H28" s="319"/>
      <c r="I28" s="319"/>
      <c r="J28" s="319"/>
      <c r="K28" s="319"/>
      <c r="L28" s="319"/>
      <c r="M28" s="319"/>
    </row>
    <row r="29" spans="3:13" hidden="1" outlineLevel="2">
      <c r="C29" s="208" t="str">
        <v>Spare offer 18</v>
      </c>
      <c r="F29" s="319"/>
      <c r="H29" s="319"/>
      <c r="I29" s="319"/>
      <c r="J29" s="319"/>
      <c r="K29" s="319"/>
      <c r="L29" s="319"/>
      <c r="M29" s="319"/>
    </row>
    <row r="30" spans="3:13" hidden="1" outlineLevel="2">
      <c r="C30" s="208" t="str">
        <v>Spare offer 19</v>
      </c>
      <c r="F30" s="319"/>
      <c r="H30" s="319"/>
      <c r="I30" s="319"/>
      <c r="J30" s="319"/>
      <c r="K30" s="319"/>
      <c r="L30" s="319"/>
      <c r="M30" s="319"/>
    </row>
    <row r="31" spans="3:13" outlineLevel="1" collapsed="1">
      <c r="C31" s="208" t="str">
        <v>Spare offer 20</v>
      </c>
      <c r="F31" s="319"/>
      <c r="H31" s="319"/>
      <c r="I31" s="319"/>
      <c r="J31" s="319"/>
      <c r="K31" s="319"/>
      <c r="L31" s="319"/>
      <c r="M31" s="319"/>
    </row>
    <row r="32" spans="3:13" outlineLevel="1"/>
    <row r="33" spans="2:16" outlineLevel="1">
      <c r="B33">
        <f>MATCH(C33,$C$12:$C$31,0)</f>
        <v>1</v>
      </c>
      <c r="C33" s="73" t="str">
        <f t="array" ref="C33:C34">current.MVNO.and.SP.offer</f>
        <v>Spare offer 1</v>
      </c>
      <c r="D33" s="122">
        <f>IF(F33&gt;F34,IF(F34&gt;0,IF(F34&gt;0,1,0)))+IF(G33&gt;G34,IF(G34&gt;0,1,0))+IF(H33&gt;H34,IF(H34&gt;0,1,0))+IF(I33&gt;I34,IF(I34&gt;0,1,0))+IF(J33&gt;J34,IF(J34&gt;0,1,0))+IF(K33&gt;K34,IF(K34&gt;0,1,0))+IF(L33&gt;L34,IF(L34&gt;0,1,0))</f>
        <v>0</v>
      </c>
      <c r="F33" s="129">
        <f>INDEX(F12:F31,$B33)</f>
        <v>0</v>
      </c>
      <c r="G33" s="129">
        <f t="shared" ref="G33" si="1">INDEX(G12:G31,$B33)</f>
        <v>0</v>
      </c>
      <c r="H33" s="129">
        <f t="shared" ref="H33:M33" si="2">INDEX(H12:H31,$B33)</f>
        <v>0</v>
      </c>
      <c r="I33" s="129">
        <f t="shared" si="2"/>
        <v>0</v>
      </c>
      <c r="J33" s="129">
        <f t="shared" si="2"/>
        <v>0</v>
      </c>
      <c r="K33" s="129">
        <f t="shared" si="2"/>
        <v>0</v>
      </c>
      <c r="L33" s="129">
        <f t="shared" si="2"/>
        <v>0</v>
      </c>
      <c r="M33" s="129">
        <f t="shared" si="2"/>
        <v>0</v>
      </c>
    </row>
    <row r="34" spans="2:16" ht="12" outlineLevel="1">
      <c r="B34">
        <f>MATCH(C34,$C$12:$C$31,0)</f>
        <v>9</v>
      </c>
      <c r="C34" s="73" t="str">
        <v>Spare offer 9</v>
      </c>
      <c r="D34" s="43" t="s">
        <v>536</v>
      </c>
      <c r="F34" s="129">
        <f>INDEX(F12:F31,$B34)</f>
        <v>0</v>
      </c>
      <c r="G34" s="129">
        <f t="shared" ref="G34" si="3">INDEX(G12:G31,$B34)</f>
        <v>0</v>
      </c>
      <c r="H34" s="129">
        <f t="shared" ref="H34:M34" si="4">INDEX(H12:H31,$B34)</f>
        <v>0</v>
      </c>
      <c r="I34" s="129">
        <f t="shared" si="4"/>
        <v>0</v>
      </c>
      <c r="J34" s="129">
        <f t="shared" si="4"/>
        <v>0</v>
      </c>
      <c r="K34" s="129">
        <f t="shared" si="4"/>
        <v>0</v>
      </c>
      <c r="L34" s="129">
        <f t="shared" si="4"/>
        <v>0</v>
      </c>
      <c r="M34" s="129">
        <f t="shared" si="4"/>
        <v>0</v>
      </c>
    </row>
    <row r="35" spans="2:16" outlineLevel="1"/>
    <row r="36" spans="2:16" outlineLevel="1">
      <c r="C36" s="91" t="s">
        <v>162</v>
      </c>
      <c r="F36" s="125" t="s">
        <v>176</v>
      </c>
      <c r="G36" s="126"/>
      <c r="H36" s="126"/>
      <c r="I36" s="126"/>
      <c r="J36" s="126"/>
      <c r="K36" s="126"/>
      <c r="L36" s="110" t="s">
        <v>177</v>
      </c>
      <c r="N36" s="91"/>
    </row>
    <row r="37" spans="2:16" ht="23" outlineLevel="1">
      <c r="C37" s="91"/>
      <c r="F37" s="209" t="str">
        <f t="array" ref="F37:L37">TRANSPOSE(voice.destination.plus.in)</f>
        <v>On-net</v>
      </c>
      <c r="G37" s="210" t="str">
        <v>Off-net fixed</v>
      </c>
      <c r="H37" s="210" t="str">
        <v>Off-net mobile</v>
      </c>
      <c r="I37" s="211" t="str">
        <v>International</v>
      </c>
      <c r="J37" s="211" t="str">
        <v>VAS</v>
      </c>
      <c r="K37" s="212" t="str">
        <v>Not used</v>
      </c>
      <c r="L37" s="110" t="str">
        <v>Termination</v>
      </c>
      <c r="M37" s="213" t="s">
        <v>626</v>
      </c>
      <c r="N37" s="215"/>
      <c r="O37" s="49"/>
      <c r="P37" s="49"/>
    </row>
    <row r="38" spans="2:16" ht="12" outlineLevel="1">
      <c r="C38" s="98" t="s">
        <v>283</v>
      </c>
      <c r="D38" t="s">
        <v>455</v>
      </c>
      <c r="F38" s="133">
        <f t="shared" ref="F38:L38" si="5">INDEX(F39:F58,Current.ws.offer)</f>
        <v>0</v>
      </c>
      <c r="G38" s="133">
        <f t="shared" si="5"/>
        <v>0</v>
      </c>
      <c r="H38" s="133">
        <f t="shared" si="5"/>
        <v>0</v>
      </c>
      <c r="I38" s="133">
        <f t="shared" si="5"/>
        <v>0</v>
      </c>
      <c r="J38" s="133">
        <f>INDEX(J39:J58,Current.ws.offer)</f>
        <v>0</v>
      </c>
      <c r="K38" s="133">
        <f t="shared" si="5"/>
        <v>0</v>
      </c>
      <c r="L38" s="133">
        <f t="shared" si="5"/>
        <v>0</v>
      </c>
      <c r="M38" s="43" t="s">
        <v>293</v>
      </c>
    </row>
    <row r="39" spans="2:16" outlineLevel="1">
      <c r="C39" s="208" t="str">
        <f t="array" ref="C39:C58">wholesale.offers</f>
        <v>Spare offer 1</v>
      </c>
      <c r="D39" t="s">
        <v>455</v>
      </c>
      <c r="F39" s="320"/>
      <c r="G39" s="320"/>
      <c r="H39" s="320"/>
      <c r="I39" s="320"/>
      <c r="J39" s="320"/>
      <c r="K39" s="320"/>
      <c r="L39" s="320"/>
    </row>
    <row r="40" spans="2:16" hidden="1" outlineLevel="2">
      <c r="C40" s="208" t="str">
        <v>Spare offer 2</v>
      </c>
      <c r="D40" t="s">
        <v>455</v>
      </c>
      <c r="F40" s="320"/>
      <c r="G40" s="320"/>
      <c r="H40" s="320"/>
      <c r="I40" s="320"/>
      <c r="J40" s="320"/>
      <c r="K40" s="320"/>
      <c r="L40" s="320"/>
      <c r="M40" s="243"/>
    </row>
    <row r="41" spans="2:16" hidden="1" outlineLevel="2">
      <c r="C41" s="208" t="str">
        <v>Spare offer 3</v>
      </c>
      <c r="D41" t="s">
        <v>455</v>
      </c>
      <c r="F41" s="320"/>
      <c r="G41" s="320"/>
      <c r="H41" s="320"/>
      <c r="I41" s="320"/>
      <c r="J41" s="320"/>
      <c r="K41" s="320"/>
      <c r="L41" s="320"/>
    </row>
    <row r="42" spans="2:16" hidden="1" outlineLevel="2">
      <c r="C42" s="208" t="str">
        <v>Spare offer 4</v>
      </c>
      <c r="D42" t="s">
        <v>455</v>
      </c>
      <c r="F42" s="320"/>
      <c r="G42" s="320"/>
      <c r="H42" s="320"/>
      <c r="I42" s="320"/>
      <c r="J42" s="320"/>
      <c r="K42" s="320"/>
      <c r="L42" s="320"/>
    </row>
    <row r="43" spans="2:16" hidden="1" outlineLevel="2">
      <c r="C43" s="208" t="str">
        <v>Spare offer 5</v>
      </c>
      <c r="D43" t="s">
        <v>455</v>
      </c>
      <c r="F43" s="320"/>
      <c r="G43" s="320"/>
      <c r="H43" s="320"/>
      <c r="I43" s="320"/>
      <c r="J43" s="320"/>
      <c r="K43" s="320"/>
      <c r="L43" s="320"/>
      <c r="M43" s="243"/>
    </row>
    <row r="44" spans="2:16" hidden="1" outlineLevel="2">
      <c r="C44" s="208" t="str">
        <v>Spare offer 6</v>
      </c>
      <c r="D44" t="s">
        <v>455</v>
      </c>
      <c r="F44" s="320"/>
      <c r="G44" s="320"/>
      <c r="H44" s="320"/>
      <c r="I44" s="320"/>
      <c r="J44" s="320"/>
      <c r="K44" s="320"/>
      <c r="L44" s="320"/>
    </row>
    <row r="45" spans="2:16" hidden="1" outlineLevel="2">
      <c r="C45" s="208" t="str">
        <v>Spare offer 7</v>
      </c>
      <c r="D45" t="s">
        <v>455</v>
      </c>
      <c r="F45" s="320"/>
      <c r="G45" s="320"/>
      <c r="H45" s="320"/>
      <c r="I45" s="320"/>
      <c r="J45" s="320"/>
      <c r="K45" s="320"/>
      <c r="L45" s="320"/>
    </row>
    <row r="46" spans="2:16" hidden="1" outlineLevel="2">
      <c r="C46" s="208" t="str">
        <v>Spare offer 8</v>
      </c>
      <c r="D46" t="s">
        <v>455</v>
      </c>
      <c r="F46" s="320"/>
      <c r="G46" s="320"/>
      <c r="H46" s="320"/>
      <c r="I46" s="320"/>
      <c r="J46" s="320"/>
      <c r="K46" s="320"/>
      <c r="L46" s="320"/>
    </row>
    <row r="47" spans="2:16" hidden="1" outlineLevel="2">
      <c r="C47" s="208" t="str">
        <v>Spare offer 9</v>
      </c>
      <c r="D47" t="s">
        <v>455</v>
      </c>
      <c r="F47" s="320"/>
      <c r="G47" s="320"/>
      <c r="H47" s="320"/>
      <c r="I47" s="320"/>
      <c r="J47" s="320"/>
      <c r="K47" s="320"/>
      <c r="L47" s="320"/>
    </row>
    <row r="48" spans="2:16" hidden="1" outlineLevel="2">
      <c r="C48" s="208" t="str">
        <v>Spare offer 10</v>
      </c>
      <c r="D48" t="s">
        <v>455</v>
      </c>
      <c r="F48" s="320"/>
      <c r="G48" s="320"/>
      <c r="H48" s="320"/>
      <c r="I48" s="320"/>
      <c r="J48" s="320"/>
      <c r="K48" s="320"/>
      <c r="L48" s="320"/>
    </row>
    <row r="49" spans="2:14" hidden="1" outlineLevel="2">
      <c r="C49" s="208" t="str">
        <v>Spare offer 11</v>
      </c>
      <c r="D49" t="s">
        <v>455</v>
      </c>
      <c r="F49" s="320"/>
      <c r="G49" s="320"/>
      <c r="H49" s="320"/>
      <c r="I49" s="320"/>
      <c r="J49" s="320"/>
      <c r="K49" s="320"/>
      <c r="L49" s="320"/>
    </row>
    <row r="50" spans="2:14" hidden="1" outlineLevel="2">
      <c r="C50" s="208" t="str">
        <v>Spare offer 12</v>
      </c>
      <c r="D50" t="s">
        <v>455</v>
      </c>
      <c r="F50" s="320"/>
      <c r="G50" s="320"/>
      <c r="H50" s="320"/>
      <c r="I50" s="320"/>
      <c r="J50" s="320"/>
      <c r="K50" s="320"/>
      <c r="L50" s="320"/>
    </row>
    <row r="51" spans="2:14" hidden="1" outlineLevel="2">
      <c r="C51" s="208" t="str">
        <v>Spare offer 13</v>
      </c>
      <c r="D51" t="s">
        <v>455</v>
      </c>
      <c r="F51" s="320"/>
      <c r="G51" s="320"/>
      <c r="H51" s="320"/>
      <c r="I51" s="320"/>
      <c r="J51" s="320"/>
      <c r="K51" s="320"/>
      <c r="L51" s="320"/>
      <c r="M51" s="243"/>
    </row>
    <row r="52" spans="2:14" hidden="1" outlineLevel="2">
      <c r="C52" s="208" t="str">
        <v>Spare offer 14</v>
      </c>
      <c r="D52" t="s">
        <v>455</v>
      </c>
      <c r="F52" s="320"/>
      <c r="G52" s="320"/>
      <c r="H52" s="320"/>
      <c r="I52" s="320"/>
      <c r="J52" s="320"/>
      <c r="K52" s="320"/>
      <c r="L52" s="320"/>
    </row>
    <row r="53" spans="2:14" hidden="1" outlineLevel="2">
      <c r="C53" s="208" t="str">
        <v>Spare offer 15</v>
      </c>
      <c r="D53" t="s">
        <v>455</v>
      </c>
      <c r="F53" s="320"/>
      <c r="G53" s="320"/>
      <c r="H53" s="320"/>
      <c r="I53" s="320"/>
      <c r="J53" s="320"/>
      <c r="K53" s="320"/>
      <c r="L53" s="320"/>
    </row>
    <row r="54" spans="2:14" hidden="1" outlineLevel="2">
      <c r="C54" s="208" t="str">
        <v>Spare offer 16</v>
      </c>
      <c r="D54" t="s">
        <v>455</v>
      </c>
      <c r="F54" s="320"/>
      <c r="G54" s="320"/>
      <c r="H54" s="320"/>
      <c r="I54" s="320"/>
      <c r="J54" s="320"/>
      <c r="K54" s="320"/>
      <c r="L54" s="320"/>
    </row>
    <row r="55" spans="2:14" hidden="1" outlineLevel="2">
      <c r="C55" s="208" t="str">
        <v>Spare offer 17</v>
      </c>
      <c r="D55" t="s">
        <v>455</v>
      </c>
      <c r="F55" s="320"/>
      <c r="G55" s="320"/>
      <c r="H55" s="320"/>
      <c r="I55" s="320"/>
      <c r="J55" s="320"/>
      <c r="K55" s="320"/>
      <c r="L55" s="320"/>
    </row>
    <row r="56" spans="2:14" hidden="1" outlineLevel="2">
      <c r="C56" s="208" t="str">
        <v>Spare offer 18</v>
      </c>
      <c r="D56" t="s">
        <v>455</v>
      </c>
      <c r="F56" s="320"/>
      <c r="G56" s="320"/>
      <c r="H56" s="320"/>
      <c r="I56" s="320"/>
      <c r="J56" s="320"/>
      <c r="K56" s="320"/>
      <c r="L56" s="320"/>
    </row>
    <row r="57" spans="2:14" hidden="1" outlineLevel="2">
      <c r="C57" s="208" t="str">
        <v>Spare offer 19</v>
      </c>
      <c r="D57" t="s">
        <v>455</v>
      </c>
      <c r="F57" s="320"/>
      <c r="G57" s="320"/>
      <c r="H57" s="320"/>
      <c r="I57" s="320"/>
      <c r="J57" s="320"/>
      <c r="K57" s="320"/>
      <c r="L57" s="320"/>
    </row>
    <row r="58" spans="2:14" outlineLevel="1" collapsed="1">
      <c r="C58" s="208" t="str">
        <v>Spare offer 20</v>
      </c>
      <c r="D58" t="s">
        <v>455</v>
      </c>
      <c r="F58" s="320"/>
      <c r="G58" s="320"/>
      <c r="H58" s="320"/>
      <c r="I58" s="320"/>
      <c r="J58" s="320"/>
      <c r="K58" s="320"/>
      <c r="L58" s="320"/>
    </row>
    <row r="59" spans="2:14" outlineLevel="1">
      <c r="N59" s="91"/>
    </row>
    <row r="60" spans="2:14" outlineLevel="1">
      <c r="B60">
        <f>MATCH(C60,$C$12:$C$31,0)</f>
        <v>1</v>
      </c>
      <c r="C60" s="73" t="str">
        <f t="array" ref="C60:C61">current.MVNO.and.SP.offer</f>
        <v>Spare offer 1</v>
      </c>
      <c r="D60" s="122">
        <f>IF(F60&gt;F61,IF(F61&gt;0,IF(F61&gt;0,1,0)))+IF(G60&gt;G61,IF(G61&gt;0,1,0))+IF(H60&gt;H61,IF(H61&gt;0,1,0))+IF(I60&gt;I61,IF(I61&gt;0,1,0))+IF(J60&gt;J61,IF(J61&gt;0,1,0))+IF(K60&gt;K61,IF(K61&gt;0,1,0))+IF(L60&gt;L61,IF(L61&gt;0,1,0))</f>
        <v>0</v>
      </c>
      <c r="F60" s="19">
        <f t="shared" ref="F60:L60" si="6">INDEX(F39:F58,$B60)</f>
        <v>0</v>
      </c>
      <c r="G60" s="19">
        <f t="shared" si="6"/>
        <v>0</v>
      </c>
      <c r="H60" s="19">
        <f t="shared" si="6"/>
        <v>0</v>
      </c>
      <c r="I60" s="19">
        <f t="shared" si="6"/>
        <v>0</v>
      </c>
      <c r="J60" s="19">
        <f t="shared" si="6"/>
        <v>0</v>
      </c>
      <c r="K60" s="19">
        <f t="shared" si="6"/>
        <v>0</v>
      </c>
      <c r="L60" s="19">
        <f t="shared" si="6"/>
        <v>0</v>
      </c>
      <c r="N60" s="91"/>
    </row>
    <row r="61" spans="2:14" ht="12" outlineLevel="1">
      <c r="B61">
        <f>MATCH(C61,$C$12:$C$31,0)</f>
        <v>9</v>
      </c>
      <c r="C61" s="73" t="str">
        <v>Spare offer 9</v>
      </c>
      <c r="D61" s="43" t="s">
        <v>537</v>
      </c>
      <c r="F61" s="19">
        <f>INDEX(F39:F58,$B61)</f>
        <v>0</v>
      </c>
      <c r="G61" s="19">
        <f t="shared" ref="G61:L61" si="7">INDEX(G39:G58,$B61)</f>
        <v>0</v>
      </c>
      <c r="H61" s="19">
        <f t="shared" si="7"/>
        <v>0</v>
      </c>
      <c r="I61" s="19">
        <f t="shared" si="7"/>
        <v>0</v>
      </c>
      <c r="J61" s="19">
        <f t="shared" si="7"/>
        <v>0</v>
      </c>
      <c r="K61" s="19">
        <f t="shared" si="7"/>
        <v>0</v>
      </c>
      <c r="L61" s="19">
        <f t="shared" si="7"/>
        <v>0</v>
      </c>
      <c r="N61" s="91"/>
    </row>
    <row r="62" spans="2:14" outlineLevel="1">
      <c r="N62" s="91"/>
    </row>
    <row r="63" spans="2:14" outlineLevel="1">
      <c r="C63" s="132" t="s">
        <v>164</v>
      </c>
      <c r="F63" s="125" t="s">
        <v>176</v>
      </c>
      <c r="G63" s="126"/>
      <c r="H63" s="126"/>
      <c r="I63" s="126"/>
      <c r="J63" s="126"/>
      <c r="K63" s="126"/>
      <c r="L63" s="110" t="s">
        <v>177</v>
      </c>
      <c r="N63" s="91"/>
    </row>
    <row r="64" spans="2:14" ht="34.5" outlineLevel="1">
      <c r="C64" s="128"/>
      <c r="F64" s="209" t="str">
        <f t="array" ref="F64:L64">TRANSPOSE(SMS.destination.plus.in)</f>
        <v>On-net</v>
      </c>
      <c r="G64" s="210" t="str">
        <v>Off-net fixed</v>
      </c>
      <c r="H64" s="210" t="str">
        <v>Off-net mobile</v>
      </c>
      <c r="I64" s="211" t="str">
        <v>International</v>
      </c>
      <c r="J64" s="211" t="str">
        <v>Content messages: BankID</v>
      </c>
      <c r="K64" s="212" t="str">
        <v>Content messages: other</v>
      </c>
      <c r="L64" s="110" t="str">
        <v>Termination</v>
      </c>
      <c r="M64" s="213" t="s">
        <v>626</v>
      </c>
    </row>
    <row r="65" spans="3:13" ht="12" outlineLevel="1">
      <c r="C65" s="98" t="s">
        <v>283</v>
      </c>
      <c r="D65" t="s">
        <v>454</v>
      </c>
      <c r="F65" s="133">
        <f t="shared" ref="F65:L65" si="8">INDEX(F66:F85,Current.ws.offer)</f>
        <v>0</v>
      </c>
      <c r="G65" s="133">
        <f t="shared" si="8"/>
        <v>0</v>
      </c>
      <c r="H65" s="133">
        <f t="shared" si="8"/>
        <v>0</v>
      </c>
      <c r="I65" s="133">
        <f t="shared" si="8"/>
        <v>0</v>
      </c>
      <c r="J65" s="133">
        <f t="shared" si="8"/>
        <v>0</v>
      </c>
      <c r="K65" s="133">
        <f t="shared" si="8"/>
        <v>0</v>
      </c>
      <c r="L65" s="133">
        <f t="shared" si="8"/>
        <v>0</v>
      </c>
      <c r="M65" s="43" t="s">
        <v>292</v>
      </c>
    </row>
    <row r="66" spans="3:13" outlineLevel="1">
      <c r="C66" s="208" t="str">
        <f t="array" ref="C66:C85">wholesale.offers</f>
        <v>Spare offer 1</v>
      </c>
      <c r="D66" t="s">
        <v>454</v>
      </c>
      <c r="F66" s="321"/>
      <c r="G66" s="321"/>
      <c r="H66" s="321"/>
      <c r="I66" s="321"/>
      <c r="J66" s="321"/>
      <c r="K66" s="321"/>
      <c r="L66" s="321"/>
    </row>
    <row r="67" spans="3:13" hidden="1" outlineLevel="2">
      <c r="C67" s="208" t="str">
        <v>Spare offer 2</v>
      </c>
      <c r="D67" t="s">
        <v>454</v>
      </c>
      <c r="F67" s="321"/>
      <c r="G67" s="321"/>
      <c r="H67" s="321"/>
      <c r="I67" s="321"/>
      <c r="J67" s="321"/>
      <c r="K67" s="321"/>
      <c r="L67" s="321"/>
      <c r="M67" s="243"/>
    </row>
    <row r="68" spans="3:13" hidden="1" outlineLevel="2">
      <c r="C68" s="208" t="str">
        <v>Spare offer 3</v>
      </c>
      <c r="D68" t="s">
        <v>454</v>
      </c>
      <c r="F68" s="321"/>
      <c r="G68" s="321"/>
      <c r="H68" s="321"/>
      <c r="I68" s="321"/>
      <c r="J68" s="321"/>
      <c r="K68" s="321"/>
      <c r="L68" s="321"/>
    </row>
    <row r="69" spans="3:13" hidden="1" outlineLevel="2">
      <c r="C69" s="208" t="str">
        <v>Spare offer 4</v>
      </c>
      <c r="D69" t="s">
        <v>454</v>
      </c>
      <c r="F69" s="321"/>
      <c r="G69" s="321"/>
      <c r="H69" s="321"/>
      <c r="I69" s="321"/>
      <c r="J69" s="321"/>
      <c r="K69" s="321"/>
      <c r="L69" s="321"/>
    </row>
    <row r="70" spans="3:13" hidden="1" outlineLevel="2">
      <c r="C70" s="208" t="str">
        <v>Spare offer 5</v>
      </c>
      <c r="D70" t="s">
        <v>454</v>
      </c>
      <c r="F70" s="321"/>
      <c r="G70" s="321"/>
      <c r="H70" s="321"/>
      <c r="I70" s="321"/>
      <c r="J70" s="321"/>
      <c r="K70" s="321"/>
      <c r="L70" s="321"/>
      <c r="M70" s="243"/>
    </row>
    <row r="71" spans="3:13" hidden="1" outlineLevel="2">
      <c r="C71" s="208" t="str">
        <v>Spare offer 6</v>
      </c>
      <c r="D71" t="s">
        <v>454</v>
      </c>
      <c r="F71" s="321"/>
      <c r="G71" s="321"/>
      <c r="H71" s="321"/>
      <c r="I71" s="321"/>
      <c r="J71" s="321"/>
      <c r="K71" s="321"/>
      <c r="L71" s="321"/>
    </row>
    <row r="72" spans="3:13" hidden="1" outlineLevel="2">
      <c r="C72" s="208" t="str">
        <v>Spare offer 7</v>
      </c>
      <c r="D72" t="s">
        <v>454</v>
      </c>
      <c r="F72" s="321"/>
      <c r="G72" s="321"/>
      <c r="H72" s="321"/>
      <c r="I72" s="321"/>
      <c r="J72" s="321"/>
      <c r="K72" s="321"/>
      <c r="L72" s="321"/>
    </row>
    <row r="73" spans="3:13" hidden="1" outlineLevel="2">
      <c r="C73" s="208" t="str">
        <v>Spare offer 8</v>
      </c>
      <c r="D73" t="s">
        <v>454</v>
      </c>
      <c r="F73" s="321"/>
      <c r="G73" s="321"/>
      <c r="H73" s="321"/>
      <c r="I73" s="321"/>
      <c r="J73" s="321"/>
      <c r="K73" s="321"/>
      <c r="L73" s="321"/>
    </row>
    <row r="74" spans="3:13" hidden="1" outlineLevel="2">
      <c r="C74" s="208" t="str">
        <v>Spare offer 9</v>
      </c>
      <c r="D74" t="s">
        <v>454</v>
      </c>
      <c r="F74" s="321"/>
      <c r="G74" s="321"/>
      <c r="H74" s="321"/>
      <c r="I74" s="321"/>
      <c r="J74" s="322"/>
      <c r="K74" s="321"/>
      <c r="L74" s="321"/>
    </row>
    <row r="75" spans="3:13" hidden="1" outlineLevel="2">
      <c r="C75" s="208" t="str">
        <v>Spare offer 10</v>
      </c>
      <c r="D75" t="s">
        <v>454</v>
      </c>
      <c r="F75" s="321"/>
      <c r="G75" s="321"/>
      <c r="H75" s="321"/>
      <c r="I75" s="321"/>
      <c r="J75" s="322"/>
      <c r="K75" s="321"/>
      <c r="L75" s="321"/>
    </row>
    <row r="76" spans="3:13" hidden="1" outlineLevel="2">
      <c r="C76" s="208" t="str">
        <v>Spare offer 11</v>
      </c>
      <c r="D76" t="s">
        <v>454</v>
      </c>
      <c r="F76" s="321"/>
      <c r="G76" s="321"/>
      <c r="H76" s="321"/>
      <c r="I76" s="321"/>
      <c r="J76" s="322"/>
      <c r="K76" s="321"/>
      <c r="L76" s="321"/>
      <c r="M76" s="243"/>
    </row>
    <row r="77" spans="3:13" hidden="1" outlineLevel="2">
      <c r="C77" s="208" t="str">
        <v>Spare offer 12</v>
      </c>
      <c r="D77" t="s">
        <v>454</v>
      </c>
      <c r="F77" s="321"/>
      <c r="G77" s="321"/>
      <c r="H77" s="321"/>
      <c r="I77" s="321"/>
      <c r="J77" s="322"/>
      <c r="K77" s="321"/>
      <c r="L77" s="321"/>
    </row>
    <row r="78" spans="3:13" hidden="1" outlineLevel="2">
      <c r="C78" s="208" t="str">
        <v>Spare offer 13</v>
      </c>
      <c r="D78" t="s">
        <v>454</v>
      </c>
      <c r="F78" s="321"/>
      <c r="G78" s="321"/>
      <c r="H78" s="321"/>
      <c r="I78" s="321"/>
      <c r="J78" s="321"/>
      <c r="K78" s="321"/>
      <c r="L78" s="321"/>
      <c r="M78" s="243"/>
    </row>
    <row r="79" spans="3:13" hidden="1" outlineLevel="2">
      <c r="C79" s="208" t="str">
        <v>Spare offer 14</v>
      </c>
      <c r="D79" t="s">
        <v>454</v>
      </c>
      <c r="F79" s="321"/>
      <c r="G79" s="321"/>
      <c r="H79" s="321"/>
      <c r="I79" s="321"/>
      <c r="J79" s="321"/>
      <c r="K79" s="321"/>
      <c r="L79" s="321"/>
    </row>
    <row r="80" spans="3:13" hidden="1" outlineLevel="2">
      <c r="C80" s="208" t="str">
        <v>Spare offer 15</v>
      </c>
      <c r="D80" t="s">
        <v>454</v>
      </c>
      <c r="F80" s="321"/>
      <c r="G80" s="321"/>
      <c r="H80" s="321"/>
      <c r="I80" s="321"/>
      <c r="J80" s="321"/>
      <c r="K80" s="321"/>
      <c r="L80" s="321"/>
    </row>
    <row r="81" spans="2:35" hidden="1" outlineLevel="2">
      <c r="C81" s="208" t="str">
        <v>Spare offer 16</v>
      </c>
      <c r="D81" t="s">
        <v>454</v>
      </c>
      <c r="F81" s="321"/>
      <c r="G81" s="321"/>
      <c r="H81" s="321"/>
      <c r="I81" s="321"/>
      <c r="J81" s="321"/>
      <c r="K81" s="321"/>
      <c r="L81" s="321"/>
    </row>
    <row r="82" spans="2:35" hidden="1" outlineLevel="2">
      <c r="C82" s="208" t="str">
        <v>Spare offer 17</v>
      </c>
      <c r="D82" t="s">
        <v>454</v>
      </c>
      <c r="F82" s="321"/>
      <c r="G82" s="321"/>
      <c r="H82" s="321"/>
      <c r="I82" s="321"/>
      <c r="J82" s="321"/>
      <c r="K82" s="321"/>
      <c r="L82" s="321"/>
    </row>
    <row r="83" spans="2:35" hidden="1" outlineLevel="2">
      <c r="C83" s="208" t="str">
        <v>Spare offer 18</v>
      </c>
      <c r="D83" t="s">
        <v>454</v>
      </c>
      <c r="F83" s="321"/>
      <c r="G83" s="321"/>
      <c r="H83" s="321"/>
      <c r="I83" s="321"/>
      <c r="J83" s="321"/>
      <c r="K83" s="321"/>
      <c r="L83" s="321"/>
    </row>
    <row r="84" spans="2:35" hidden="1" outlineLevel="2">
      <c r="C84" s="208" t="str">
        <v>Spare offer 19</v>
      </c>
      <c r="D84" t="s">
        <v>454</v>
      </c>
      <c r="F84" s="321"/>
      <c r="G84" s="321"/>
      <c r="H84" s="321"/>
      <c r="I84" s="321"/>
      <c r="J84" s="321"/>
      <c r="K84" s="321"/>
      <c r="L84" s="321"/>
    </row>
    <row r="85" spans="2:35" outlineLevel="1" collapsed="1">
      <c r="C85" s="208" t="str">
        <v>Spare offer 20</v>
      </c>
      <c r="D85" t="s">
        <v>454</v>
      </c>
      <c r="F85" s="321"/>
      <c r="G85" s="321"/>
      <c r="H85" s="321"/>
      <c r="I85" s="321"/>
      <c r="J85" s="321"/>
      <c r="K85" s="321"/>
      <c r="L85" s="321"/>
    </row>
    <row r="86" spans="2:35" outlineLevel="1">
      <c r="C86" s="100"/>
      <c r="M86" s="108"/>
    </row>
    <row r="87" spans="2:35" outlineLevel="1">
      <c r="B87">
        <f>MATCH(C87,$C$12:$C$31,0)</f>
        <v>1</v>
      </c>
      <c r="C87" s="73" t="str">
        <f t="array" ref="C87:C88">current.MVNO.and.SP.offer</f>
        <v>Spare offer 1</v>
      </c>
      <c r="D87" s="122">
        <f>IF(F87&gt;F88,IF(F88&gt;0,IF(F88&gt;0,1,0)))+IF(G87&gt;G88,IF(G88&gt;0,1,0))+IF(H87&gt;H88,IF(H88&gt;0,1,0))+IF(I87&gt;I88,IF(I88&gt;0,1,0))+IF(J87&gt;J88,IF(J88&gt;0,1,0))+IF(K87&gt;K88,IF(K88&gt;0,1,0))+IF(L87&gt;L88,IF(L88&gt;0,1,0))</f>
        <v>0</v>
      </c>
      <c r="F87" s="19">
        <f t="shared" ref="F87:L87" si="9">INDEX(F66:F85,$B87)</f>
        <v>0</v>
      </c>
      <c r="G87" s="19">
        <f t="shared" si="9"/>
        <v>0</v>
      </c>
      <c r="H87" s="19">
        <f t="shared" si="9"/>
        <v>0</v>
      </c>
      <c r="I87" s="19">
        <f t="shared" si="9"/>
        <v>0</v>
      </c>
      <c r="J87" s="19">
        <f t="shared" si="9"/>
        <v>0</v>
      </c>
      <c r="K87" s="19">
        <f t="shared" si="9"/>
        <v>0</v>
      </c>
      <c r="L87" s="19">
        <f t="shared" si="9"/>
        <v>0</v>
      </c>
      <c r="M87" s="108"/>
    </row>
    <row r="88" spans="2:35" ht="12" outlineLevel="1">
      <c r="B88">
        <f>MATCH(C88,$C$12:$C$31,0)</f>
        <v>9</v>
      </c>
      <c r="C88" s="73" t="str">
        <v>Spare offer 9</v>
      </c>
      <c r="D88" s="43" t="s">
        <v>538</v>
      </c>
      <c r="F88" s="19">
        <f>INDEX(F66:F85,$B88)</f>
        <v>0</v>
      </c>
      <c r="G88" s="19">
        <f t="shared" ref="G88:L88" si="10">INDEX(G66:G85,$B88)</f>
        <v>0</v>
      </c>
      <c r="H88" s="19">
        <f t="shared" si="10"/>
        <v>0</v>
      </c>
      <c r="I88" s="19">
        <f t="shared" si="10"/>
        <v>0</v>
      </c>
      <c r="J88" s="19">
        <f t="shared" si="10"/>
        <v>0</v>
      </c>
      <c r="K88" s="19">
        <f t="shared" si="10"/>
        <v>0</v>
      </c>
      <c r="L88" s="19">
        <f t="shared" si="10"/>
        <v>0</v>
      </c>
      <c r="M88" s="108"/>
    </row>
    <row r="89" spans="2:35" outlineLevel="1">
      <c r="C89" s="100"/>
    </row>
    <row r="90" spans="2:35" ht="12" customHeight="1" outlineLevel="1">
      <c r="C90" s="91" t="s">
        <v>676</v>
      </c>
      <c r="F90" s="120" t="str">
        <f>UPPER(INDEX(data.speed.options,1))</f>
        <v>15MBIT/S</v>
      </c>
      <c r="G90" s="120" t="s">
        <v>182</v>
      </c>
      <c r="H90" s="121"/>
      <c r="I90" s="121"/>
      <c r="J90" s="121"/>
      <c r="K90" s="121"/>
      <c r="L90" s="121"/>
      <c r="M90" s="121"/>
      <c r="N90" s="121"/>
      <c r="P90" s="120" t="str">
        <f>UPPER(INDEX(data.speed.options,2))</f>
        <v>150MBIT/S</v>
      </c>
      <c r="Q90" s="120" t="s">
        <v>182</v>
      </c>
      <c r="R90" s="121"/>
      <c r="S90" s="121"/>
      <c r="T90" s="121"/>
      <c r="U90" s="121"/>
      <c r="V90" s="121"/>
      <c r="W90" s="121"/>
      <c r="X90" s="121"/>
      <c r="Z90" s="120" t="str">
        <f>UPPER(INDEX(data.speed.options,3))</f>
        <v>UNLIMITED</v>
      </c>
      <c r="AA90" s="120" t="s">
        <v>182</v>
      </c>
      <c r="AB90" s="121"/>
      <c r="AC90" s="121"/>
      <c r="AD90" s="121"/>
      <c r="AE90" s="121"/>
      <c r="AF90" s="121"/>
      <c r="AG90" s="121"/>
      <c r="AH90" s="121"/>
    </row>
    <row r="91" spans="2:35" ht="23" outlineLevel="1">
      <c r="C91" s="91"/>
      <c r="F91" s="209" t="str">
        <f t="array" ref="F91:N91">TRANSPOSE(wholesale.data.tiers)</f>
        <v>W/S spare tier 1</v>
      </c>
      <c r="G91" s="210" t="str">
        <v>W/S spare tier 2</v>
      </c>
      <c r="H91" s="210" t="str">
        <v>W/S spare tier 3</v>
      </c>
      <c r="I91" s="210" t="str">
        <v>W/S spare tier 4</v>
      </c>
      <c r="J91" s="210" t="str">
        <v>W/S spare tier 5</v>
      </c>
      <c r="K91" s="210" t="str">
        <v>W/S spare tier 6</v>
      </c>
      <c r="L91" s="210" t="str">
        <v>W/S spare tier 7</v>
      </c>
      <c r="M91" s="210" t="str">
        <v>W/S spare tier 8</v>
      </c>
      <c r="N91" s="216" t="str">
        <v>W/S spare tier 9</v>
      </c>
      <c r="P91" s="209" t="str">
        <f t="array" ref="P91:X91">TRANSPOSE(wholesale.data.tiers)</f>
        <v>W/S spare tier 1</v>
      </c>
      <c r="Q91" s="210" t="str">
        <v>W/S spare tier 2</v>
      </c>
      <c r="R91" s="210" t="str">
        <v>W/S spare tier 3</v>
      </c>
      <c r="S91" s="210" t="str">
        <v>W/S spare tier 4</v>
      </c>
      <c r="T91" s="210" t="str">
        <v>W/S spare tier 5</v>
      </c>
      <c r="U91" s="210" t="str">
        <v>W/S spare tier 6</v>
      </c>
      <c r="V91" s="210" t="str">
        <v>W/S spare tier 7</v>
      </c>
      <c r="W91" s="210" t="str">
        <v>W/S spare tier 8</v>
      </c>
      <c r="X91" s="216" t="str">
        <v>W/S spare tier 9</v>
      </c>
      <c r="Z91" s="209" t="str">
        <f t="array" ref="Z91:AH91">TRANSPOSE(wholesale.data.tiers)</f>
        <v>W/S spare tier 1</v>
      </c>
      <c r="AA91" s="210" t="str">
        <v>W/S spare tier 2</v>
      </c>
      <c r="AB91" s="210" t="str">
        <v>W/S spare tier 3</v>
      </c>
      <c r="AC91" s="210" t="str">
        <v>W/S spare tier 4</v>
      </c>
      <c r="AD91" s="210" t="str">
        <v>W/S spare tier 5</v>
      </c>
      <c r="AE91" s="210" t="str">
        <v>W/S spare tier 6</v>
      </c>
      <c r="AF91" s="210" t="str">
        <v>W/S spare tier 7</v>
      </c>
      <c r="AG91" s="210" t="str">
        <v>W/S spare tier 8</v>
      </c>
      <c r="AH91" s="216" t="str">
        <v>W/S spare tier 9</v>
      </c>
    </row>
    <row r="92" spans="2:35" ht="12" outlineLevel="1">
      <c r="C92" s="98" t="s">
        <v>283</v>
      </c>
      <c r="D92" t="s">
        <v>168</v>
      </c>
      <c r="F92" s="150">
        <f t="shared" ref="F92:N92" si="11">INDEX(F93:F112,Current.ws.offer)</f>
        <v>0</v>
      </c>
      <c r="G92" s="150">
        <f t="shared" si="11"/>
        <v>0</v>
      </c>
      <c r="H92" s="150">
        <f t="shared" si="11"/>
        <v>0</v>
      </c>
      <c r="I92" s="150">
        <f t="shared" si="11"/>
        <v>0</v>
      </c>
      <c r="J92" s="150">
        <f t="shared" si="11"/>
        <v>0</v>
      </c>
      <c r="K92" s="150">
        <f t="shared" si="11"/>
        <v>0</v>
      </c>
      <c r="L92" s="150">
        <f t="shared" si="11"/>
        <v>0</v>
      </c>
      <c r="M92" s="150">
        <f t="shared" si="11"/>
        <v>0</v>
      </c>
      <c r="N92" s="150">
        <f t="shared" si="11"/>
        <v>0</v>
      </c>
      <c r="P92" s="150">
        <f t="shared" ref="P92:X92" si="12">INDEX(P93:P112,Current.ws.offer)</f>
        <v>0</v>
      </c>
      <c r="Q92" s="150">
        <f t="shared" si="12"/>
        <v>0</v>
      </c>
      <c r="R92" s="150">
        <f t="shared" si="12"/>
        <v>0</v>
      </c>
      <c r="S92" s="150">
        <f t="shared" si="12"/>
        <v>0</v>
      </c>
      <c r="T92" s="150">
        <f t="shared" si="12"/>
        <v>0</v>
      </c>
      <c r="U92" s="150">
        <f t="shared" si="12"/>
        <v>0</v>
      </c>
      <c r="V92" s="150">
        <f t="shared" si="12"/>
        <v>0</v>
      </c>
      <c r="W92" s="150">
        <f t="shared" si="12"/>
        <v>0</v>
      </c>
      <c r="X92" s="150">
        <f t="shared" si="12"/>
        <v>0</v>
      </c>
      <c r="Z92" s="150">
        <f t="shared" ref="Z92:AG92" si="13">INDEX(Z93:Z112,Current.ws.offer)</f>
        <v>0</v>
      </c>
      <c r="AA92" s="150">
        <f t="shared" si="13"/>
        <v>0</v>
      </c>
      <c r="AB92" s="150">
        <f t="shared" si="13"/>
        <v>0</v>
      </c>
      <c r="AC92" s="150">
        <f t="shared" si="13"/>
        <v>0</v>
      </c>
      <c r="AD92" s="150">
        <f t="shared" si="13"/>
        <v>0</v>
      </c>
      <c r="AE92" s="150">
        <f t="shared" si="13"/>
        <v>0</v>
      </c>
      <c r="AF92" s="150">
        <f t="shared" si="13"/>
        <v>0</v>
      </c>
      <c r="AG92" s="150">
        <f t="shared" si="13"/>
        <v>0</v>
      </c>
      <c r="AH92" s="150">
        <f t="shared" ref="AH92" si="14">INDEX(AH93:AH112,Current.ws.offer)</f>
        <v>0</v>
      </c>
      <c r="AI92" s="43" t="s">
        <v>295</v>
      </c>
    </row>
    <row r="93" spans="2:35" outlineLevel="1">
      <c r="C93" s="208" t="str">
        <f t="array" ref="C93:C112">wholesale.offers</f>
        <v>Spare offer 1</v>
      </c>
      <c r="D93" t="s">
        <v>168</v>
      </c>
      <c r="F93" s="321"/>
      <c r="G93" s="321"/>
      <c r="H93" s="321"/>
      <c r="I93" s="321"/>
      <c r="J93" s="321"/>
      <c r="K93" s="321"/>
      <c r="L93" s="321"/>
      <c r="M93" s="321"/>
      <c r="N93" s="321"/>
      <c r="P93" s="321"/>
      <c r="Q93" s="321"/>
      <c r="R93" s="321"/>
      <c r="S93" s="321"/>
      <c r="T93" s="321"/>
      <c r="U93" s="321"/>
      <c r="V93" s="321"/>
      <c r="W93" s="321"/>
      <c r="X93" s="321"/>
      <c r="Z93" s="321"/>
      <c r="AA93" s="321"/>
      <c r="AB93" s="321"/>
      <c r="AC93" s="321"/>
      <c r="AD93" s="321"/>
      <c r="AE93" s="321"/>
      <c r="AF93" s="321"/>
      <c r="AG93" s="321"/>
      <c r="AH93" s="321"/>
    </row>
    <row r="94" spans="2:35" hidden="1" outlineLevel="2">
      <c r="C94" s="208" t="str">
        <v>Spare offer 2</v>
      </c>
      <c r="D94" t="s">
        <v>168</v>
      </c>
      <c r="F94" s="321"/>
      <c r="G94" s="321"/>
      <c r="H94" s="321"/>
      <c r="I94" s="321"/>
      <c r="J94" s="321"/>
      <c r="K94" s="321"/>
      <c r="L94" s="321"/>
      <c r="M94" s="321"/>
      <c r="N94" s="321"/>
      <c r="O94" s="243"/>
      <c r="P94" s="321"/>
      <c r="Q94" s="321"/>
      <c r="R94" s="321"/>
      <c r="S94" s="321"/>
      <c r="T94" s="321"/>
      <c r="U94" s="321"/>
      <c r="V94" s="321"/>
      <c r="W94" s="321"/>
      <c r="X94" s="321"/>
      <c r="Y94" s="243"/>
      <c r="Z94" s="321"/>
      <c r="AA94" s="321"/>
      <c r="AB94" s="321"/>
      <c r="AC94" s="321"/>
      <c r="AD94" s="321"/>
      <c r="AE94" s="321"/>
      <c r="AF94" s="321"/>
      <c r="AG94" s="321"/>
      <c r="AH94" s="321"/>
      <c r="AI94" s="243"/>
    </row>
    <row r="95" spans="2:35" hidden="1" outlineLevel="2">
      <c r="C95" s="208" t="str">
        <v>Spare offer 3</v>
      </c>
      <c r="D95" t="s">
        <v>168</v>
      </c>
      <c r="F95" s="321"/>
      <c r="G95" s="321"/>
      <c r="H95" s="321"/>
      <c r="I95" s="321"/>
      <c r="J95" s="321"/>
      <c r="K95" s="321"/>
      <c r="L95" s="321"/>
      <c r="M95" s="321"/>
      <c r="N95" s="321"/>
      <c r="P95" s="321"/>
      <c r="Q95" s="321"/>
      <c r="R95" s="321"/>
      <c r="S95" s="321"/>
      <c r="T95" s="321"/>
      <c r="U95" s="321"/>
      <c r="V95" s="321"/>
      <c r="W95" s="321"/>
      <c r="X95" s="321"/>
      <c r="Z95" s="321"/>
      <c r="AA95" s="321"/>
      <c r="AB95" s="321"/>
      <c r="AC95" s="321"/>
      <c r="AD95" s="321"/>
      <c r="AE95" s="321"/>
      <c r="AF95" s="321"/>
      <c r="AG95" s="321"/>
      <c r="AH95" s="321"/>
    </row>
    <row r="96" spans="2:35" hidden="1" outlineLevel="2">
      <c r="C96" s="208" t="str">
        <v>Spare offer 4</v>
      </c>
      <c r="D96" t="s">
        <v>168</v>
      </c>
      <c r="F96" s="321"/>
      <c r="G96" s="321"/>
      <c r="H96" s="321"/>
      <c r="I96" s="321"/>
      <c r="J96" s="321"/>
      <c r="K96" s="321"/>
      <c r="L96" s="321"/>
      <c r="M96" s="321"/>
      <c r="N96" s="321"/>
      <c r="P96" s="321"/>
      <c r="Q96" s="321"/>
      <c r="R96" s="321"/>
      <c r="S96" s="321"/>
      <c r="T96" s="321"/>
      <c r="U96" s="321"/>
      <c r="V96" s="321"/>
      <c r="W96" s="321"/>
      <c r="X96" s="321"/>
      <c r="Z96" s="321"/>
      <c r="AA96" s="321"/>
      <c r="AB96" s="321"/>
      <c r="AC96" s="321"/>
      <c r="AD96" s="321"/>
      <c r="AE96" s="321"/>
      <c r="AF96" s="321"/>
      <c r="AG96" s="321"/>
      <c r="AH96" s="321"/>
    </row>
    <row r="97" spans="3:35" hidden="1" outlineLevel="2">
      <c r="C97" s="208" t="str">
        <v>Spare offer 5</v>
      </c>
      <c r="D97" t="s">
        <v>168</v>
      </c>
      <c r="F97" s="321"/>
      <c r="G97" s="321"/>
      <c r="H97" s="321"/>
      <c r="I97" s="321"/>
      <c r="J97" s="321"/>
      <c r="K97" s="321"/>
      <c r="L97" s="321"/>
      <c r="M97" s="321"/>
      <c r="N97" s="321"/>
      <c r="O97" s="243"/>
      <c r="P97" s="321"/>
      <c r="Q97" s="321"/>
      <c r="R97" s="321"/>
      <c r="S97" s="321"/>
      <c r="T97" s="321"/>
      <c r="U97" s="321"/>
      <c r="V97" s="321"/>
      <c r="W97" s="321"/>
      <c r="X97" s="321"/>
      <c r="Y97" s="243"/>
      <c r="Z97" s="321"/>
      <c r="AA97" s="321"/>
      <c r="AB97" s="321"/>
      <c r="AC97" s="321"/>
      <c r="AD97" s="321"/>
      <c r="AE97" s="321"/>
      <c r="AF97" s="321"/>
      <c r="AG97" s="321"/>
      <c r="AH97" s="321"/>
      <c r="AI97" s="243"/>
    </row>
    <row r="98" spans="3:35" hidden="1" outlineLevel="2">
      <c r="C98" s="208" t="str">
        <v>Spare offer 6</v>
      </c>
      <c r="D98" t="s">
        <v>168</v>
      </c>
      <c r="F98" s="321"/>
      <c r="G98" s="321"/>
      <c r="H98" s="321"/>
      <c r="I98" s="321"/>
      <c r="J98" s="321"/>
      <c r="K98" s="321"/>
      <c r="L98" s="321"/>
      <c r="M98" s="321"/>
      <c r="N98" s="321"/>
      <c r="P98" s="321"/>
      <c r="Q98" s="321"/>
      <c r="R98" s="321"/>
      <c r="S98" s="321"/>
      <c r="T98" s="321"/>
      <c r="U98" s="321"/>
      <c r="V98" s="321"/>
      <c r="W98" s="321"/>
      <c r="X98" s="321"/>
      <c r="Z98" s="321"/>
      <c r="AA98" s="321"/>
      <c r="AB98" s="321"/>
      <c r="AC98" s="321"/>
      <c r="AD98" s="321"/>
      <c r="AE98" s="321"/>
      <c r="AF98" s="321"/>
      <c r="AG98" s="321"/>
      <c r="AH98" s="321"/>
    </row>
    <row r="99" spans="3:35" hidden="1" outlineLevel="2">
      <c r="C99" s="208" t="str">
        <v>Spare offer 7</v>
      </c>
      <c r="D99" t="s">
        <v>168</v>
      </c>
      <c r="F99" s="321"/>
      <c r="G99" s="321"/>
      <c r="H99" s="321"/>
      <c r="I99" s="321"/>
      <c r="J99" s="321"/>
      <c r="K99" s="321"/>
      <c r="L99" s="321"/>
      <c r="M99" s="321"/>
      <c r="N99" s="321"/>
      <c r="P99" s="321"/>
      <c r="Q99" s="321"/>
      <c r="R99" s="321"/>
      <c r="S99" s="321"/>
      <c r="T99" s="321"/>
      <c r="U99" s="321"/>
      <c r="V99" s="321"/>
      <c r="W99" s="321"/>
      <c r="X99" s="321"/>
      <c r="Z99" s="321"/>
      <c r="AA99" s="321"/>
      <c r="AB99" s="321"/>
      <c r="AC99" s="321"/>
      <c r="AD99" s="321"/>
      <c r="AE99" s="321"/>
      <c r="AF99" s="321"/>
      <c r="AG99" s="321"/>
      <c r="AH99" s="321"/>
    </row>
    <row r="100" spans="3:35" hidden="1" outlineLevel="2">
      <c r="C100" s="208" t="str">
        <v>Spare offer 8</v>
      </c>
      <c r="D100" t="s">
        <v>168</v>
      </c>
      <c r="F100" s="321"/>
      <c r="G100" s="321"/>
      <c r="H100" s="321"/>
      <c r="I100" s="321"/>
      <c r="J100" s="321"/>
      <c r="K100" s="321"/>
      <c r="L100" s="321"/>
      <c r="M100" s="321"/>
      <c r="N100" s="321"/>
      <c r="P100" s="321"/>
      <c r="Q100" s="321"/>
      <c r="R100" s="321"/>
      <c r="S100" s="321"/>
      <c r="T100" s="321"/>
      <c r="U100" s="321"/>
      <c r="V100" s="321"/>
      <c r="W100" s="321"/>
      <c r="X100" s="321"/>
      <c r="Z100" s="321"/>
      <c r="AA100" s="321"/>
      <c r="AB100" s="321"/>
      <c r="AC100" s="321"/>
      <c r="AD100" s="321"/>
      <c r="AE100" s="321"/>
      <c r="AF100" s="321"/>
      <c r="AG100" s="321"/>
      <c r="AH100" s="321"/>
    </row>
    <row r="101" spans="3:35" hidden="1" outlineLevel="2">
      <c r="C101" s="208" t="str">
        <v>Spare offer 9</v>
      </c>
      <c r="D101" t="s">
        <v>168</v>
      </c>
      <c r="F101" s="321"/>
      <c r="G101" s="321"/>
      <c r="H101" s="321"/>
      <c r="I101" s="321"/>
      <c r="J101" s="321"/>
      <c r="K101" s="321"/>
      <c r="L101" s="322"/>
      <c r="M101" s="321"/>
      <c r="N101" s="321"/>
      <c r="P101" s="321"/>
      <c r="Q101" s="321"/>
      <c r="R101" s="321"/>
      <c r="S101" s="321"/>
      <c r="T101" s="321"/>
      <c r="U101" s="321"/>
      <c r="V101" s="322"/>
      <c r="W101" s="321"/>
      <c r="X101" s="321"/>
      <c r="Z101" s="321"/>
      <c r="AA101" s="321"/>
      <c r="AB101" s="321"/>
      <c r="AC101" s="321"/>
      <c r="AD101" s="321"/>
      <c r="AE101" s="321"/>
      <c r="AF101" s="322"/>
      <c r="AG101" s="321"/>
      <c r="AH101" s="321"/>
    </row>
    <row r="102" spans="3:35" hidden="1" outlineLevel="2">
      <c r="C102" s="208" t="str">
        <v>Spare offer 10</v>
      </c>
      <c r="D102" t="s">
        <v>168</v>
      </c>
      <c r="F102" s="321"/>
      <c r="G102" s="321"/>
      <c r="H102" s="321"/>
      <c r="I102" s="321"/>
      <c r="J102" s="321"/>
      <c r="K102" s="321"/>
      <c r="L102" s="322"/>
      <c r="M102" s="321"/>
      <c r="N102" s="321"/>
      <c r="P102" s="321"/>
      <c r="Q102" s="321"/>
      <c r="R102" s="321"/>
      <c r="S102" s="321"/>
      <c r="T102" s="321"/>
      <c r="U102" s="321"/>
      <c r="V102" s="322"/>
      <c r="W102" s="321"/>
      <c r="X102" s="321"/>
      <c r="Z102" s="321"/>
      <c r="AA102" s="321"/>
      <c r="AB102" s="321"/>
      <c r="AC102" s="321"/>
      <c r="AD102" s="321"/>
      <c r="AE102" s="321"/>
      <c r="AF102" s="322"/>
      <c r="AG102" s="321"/>
      <c r="AH102" s="321"/>
    </row>
    <row r="103" spans="3:35" hidden="1" outlineLevel="2">
      <c r="C103" s="208" t="str">
        <v>Spare offer 11</v>
      </c>
      <c r="D103" t="s">
        <v>168</v>
      </c>
      <c r="F103" s="321"/>
      <c r="G103" s="321"/>
      <c r="H103" s="321"/>
      <c r="I103" s="321"/>
      <c r="J103" s="321"/>
      <c r="K103" s="321"/>
      <c r="L103" s="322"/>
      <c r="M103" s="321"/>
      <c r="N103" s="321"/>
      <c r="O103" s="243"/>
      <c r="P103" s="321"/>
      <c r="Q103" s="321"/>
      <c r="R103" s="321"/>
      <c r="S103" s="321"/>
      <c r="T103" s="321"/>
      <c r="U103" s="321"/>
      <c r="V103" s="322"/>
      <c r="W103" s="321"/>
      <c r="X103" s="321"/>
      <c r="Y103" s="243"/>
      <c r="Z103" s="321"/>
      <c r="AA103" s="321"/>
      <c r="AB103" s="321"/>
      <c r="AC103" s="321"/>
      <c r="AD103" s="321"/>
      <c r="AE103" s="321"/>
      <c r="AF103" s="322"/>
      <c r="AG103" s="321"/>
      <c r="AH103" s="321"/>
      <c r="AI103" s="243"/>
    </row>
    <row r="104" spans="3:35" hidden="1" outlineLevel="2">
      <c r="C104" s="208" t="str">
        <v>Spare offer 12</v>
      </c>
      <c r="D104" t="s">
        <v>168</v>
      </c>
      <c r="F104" s="321"/>
      <c r="G104" s="321"/>
      <c r="H104" s="321"/>
      <c r="I104" s="321"/>
      <c r="J104" s="321"/>
      <c r="K104" s="321"/>
      <c r="L104" s="322"/>
      <c r="M104" s="321"/>
      <c r="N104" s="321"/>
      <c r="P104" s="321"/>
      <c r="Q104" s="321"/>
      <c r="R104" s="321"/>
      <c r="S104" s="321"/>
      <c r="T104" s="321"/>
      <c r="U104" s="321"/>
      <c r="V104" s="322"/>
      <c r="W104" s="321"/>
      <c r="X104" s="321"/>
      <c r="Z104" s="321"/>
      <c r="AA104" s="321"/>
      <c r="AB104" s="321"/>
      <c r="AC104" s="321"/>
      <c r="AD104" s="321"/>
      <c r="AE104" s="321"/>
      <c r="AF104" s="322"/>
      <c r="AG104" s="321"/>
      <c r="AH104" s="321"/>
    </row>
    <row r="105" spans="3:35" hidden="1" outlineLevel="2">
      <c r="C105" s="208" t="str">
        <v>Spare offer 13</v>
      </c>
      <c r="D105" t="s">
        <v>168</v>
      </c>
      <c r="F105" s="321"/>
      <c r="G105" s="321"/>
      <c r="H105" s="321"/>
      <c r="I105" s="321"/>
      <c r="J105" s="321"/>
      <c r="K105" s="321"/>
      <c r="L105" s="321"/>
      <c r="M105" s="321"/>
      <c r="N105" s="321"/>
      <c r="O105" s="243"/>
      <c r="P105" s="321"/>
      <c r="Q105" s="321"/>
      <c r="R105" s="321"/>
      <c r="S105" s="321"/>
      <c r="T105" s="321"/>
      <c r="U105" s="321"/>
      <c r="V105" s="321"/>
      <c r="W105" s="321"/>
      <c r="X105" s="321"/>
      <c r="Y105" s="243"/>
      <c r="Z105" s="321"/>
      <c r="AA105" s="321"/>
      <c r="AB105" s="321"/>
      <c r="AC105" s="321"/>
      <c r="AD105" s="321"/>
      <c r="AE105" s="321"/>
      <c r="AF105" s="321"/>
      <c r="AG105" s="321"/>
      <c r="AH105" s="321"/>
      <c r="AI105" s="243"/>
    </row>
    <row r="106" spans="3:35" hidden="1" outlineLevel="2">
      <c r="C106" s="208" t="str">
        <v>Spare offer 14</v>
      </c>
      <c r="D106" t="s">
        <v>168</v>
      </c>
      <c r="F106" s="321"/>
      <c r="G106" s="321"/>
      <c r="H106" s="321"/>
      <c r="I106" s="321"/>
      <c r="J106" s="321"/>
      <c r="K106" s="321"/>
      <c r="L106" s="321"/>
      <c r="M106" s="321"/>
      <c r="N106" s="321"/>
      <c r="P106" s="321"/>
      <c r="Q106" s="321"/>
      <c r="R106" s="321"/>
      <c r="S106" s="321"/>
      <c r="T106" s="321"/>
      <c r="U106" s="321"/>
      <c r="V106" s="321"/>
      <c r="W106" s="321"/>
      <c r="X106" s="321"/>
      <c r="Z106" s="321"/>
      <c r="AA106" s="321"/>
      <c r="AB106" s="321"/>
      <c r="AC106" s="321"/>
      <c r="AD106" s="321"/>
      <c r="AE106" s="321"/>
      <c r="AF106" s="321"/>
      <c r="AG106" s="321"/>
      <c r="AH106" s="321"/>
    </row>
    <row r="107" spans="3:35" hidden="1" outlineLevel="2">
      <c r="C107" s="208" t="str">
        <v>Spare offer 15</v>
      </c>
      <c r="D107" t="s">
        <v>168</v>
      </c>
      <c r="F107" s="321"/>
      <c r="G107" s="321"/>
      <c r="H107" s="321"/>
      <c r="I107" s="321"/>
      <c r="J107" s="321"/>
      <c r="K107" s="321"/>
      <c r="L107" s="321"/>
      <c r="M107" s="321"/>
      <c r="N107" s="321"/>
      <c r="P107" s="321"/>
      <c r="Q107" s="321"/>
      <c r="R107" s="321"/>
      <c r="S107" s="321"/>
      <c r="T107" s="321"/>
      <c r="U107" s="321"/>
      <c r="V107" s="321"/>
      <c r="W107" s="321"/>
      <c r="X107" s="321"/>
      <c r="Z107" s="321"/>
      <c r="AA107" s="321"/>
      <c r="AB107" s="321"/>
      <c r="AC107" s="321"/>
      <c r="AD107" s="321"/>
      <c r="AE107" s="321"/>
      <c r="AF107" s="321"/>
      <c r="AG107" s="321"/>
      <c r="AH107" s="321"/>
    </row>
    <row r="108" spans="3:35" hidden="1" outlineLevel="2">
      <c r="C108" s="208" t="str">
        <v>Spare offer 16</v>
      </c>
      <c r="D108" t="s">
        <v>168</v>
      </c>
      <c r="F108" s="321"/>
      <c r="G108" s="321"/>
      <c r="H108" s="321"/>
      <c r="I108" s="321"/>
      <c r="J108" s="321"/>
      <c r="K108" s="321"/>
      <c r="L108" s="321"/>
      <c r="M108" s="321"/>
      <c r="N108" s="321"/>
      <c r="P108" s="321"/>
      <c r="Q108" s="321"/>
      <c r="R108" s="321"/>
      <c r="S108" s="321"/>
      <c r="T108" s="321"/>
      <c r="U108" s="321"/>
      <c r="V108" s="321"/>
      <c r="W108" s="321"/>
      <c r="X108" s="321"/>
      <c r="Z108" s="321"/>
      <c r="AA108" s="321"/>
      <c r="AB108" s="321"/>
      <c r="AC108" s="321"/>
      <c r="AD108" s="321"/>
      <c r="AE108" s="321"/>
      <c r="AF108" s="321"/>
      <c r="AG108" s="321"/>
      <c r="AH108" s="321"/>
    </row>
    <row r="109" spans="3:35" hidden="1" outlineLevel="2">
      <c r="C109" s="208" t="str">
        <v>Spare offer 17</v>
      </c>
      <c r="D109" t="s">
        <v>168</v>
      </c>
      <c r="F109" s="321"/>
      <c r="G109" s="321"/>
      <c r="H109" s="321"/>
      <c r="I109" s="321"/>
      <c r="J109" s="321"/>
      <c r="K109" s="321"/>
      <c r="L109" s="321"/>
      <c r="M109" s="321"/>
      <c r="N109" s="321"/>
      <c r="P109" s="321"/>
      <c r="Q109" s="321"/>
      <c r="R109" s="321"/>
      <c r="S109" s="321"/>
      <c r="T109" s="321"/>
      <c r="U109" s="321"/>
      <c r="V109" s="321"/>
      <c r="W109" s="321"/>
      <c r="X109" s="321"/>
      <c r="Z109" s="321"/>
      <c r="AA109" s="321"/>
      <c r="AB109" s="321"/>
      <c r="AC109" s="321"/>
      <c r="AD109" s="321"/>
      <c r="AE109" s="321"/>
      <c r="AF109" s="321"/>
      <c r="AG109" s="321"/>
      <c r="AH109" s="321"/>
    </row>
    <row r="110" spans="3:35" hidden="1" outlineLevel="2">
      <c r="C110" s="208" t="str">
        <v>Spare offer 18</v>
      </c>
      <c r="D110" t="s">
        <v>168</v>
      </c>
      <c r="F110" s="321"/>
      <c r="G110" s="321"/>
      <c r="H110" s="321"/>
      <c r="I110" s="321"/>
      <c r="J110" s="321"/>
      <c r="K110" s="321"/>
      <c r="L110" s="321"/>
      <c r="M110" s="321"/>
      <c r="N110" s="321"/>
      <c r="P110" s="321"/>
      <c r="Q110" s="321"/>
      <c r="R110" s="321"/>
      <c r="S110" s="321"/>
      <c r="T110" s="321"/>
      <c r="U110" s="321"/>
      <c r="V110" s="321"/>
      <c r="W110" s="321"/>
      <c r="X110" s="321"/>
      <c r="Z110" s="321"/>
      <c r="AA110" s="321"/>
      <c r="AB110" s="321"/>
      <c r="AC110" s="321"/>
      <c r="AD110" s="321"/>
      <c r="AE110" s="321"/>
      <c r="AF110" s="321"/>
      <c r="AG110" s="321"/>
      <c r="AH110" s="321"/>
    </row>
    <row r="111" spans="3:35" hidden="1" outlineLevel="2">
      <c r="C111" s="208" t="str">
        <v>Spare offer 19</v>
      </c>
      <c r="D111" t="s">
        <v>168</v>
      </c>
      <c r="F111" s="321"/>
      <c r="G111" s="321"/>
      <c r="H111" s="321"/>
      <c r="I111" s="321"/>
      <c r="J111" s="321"/>
      <c r="K111" s="321"/>
      <c r="L111" s="321"/>
      <c r="M111" s="321"/>
      <c r="N111" s="321"/>
      <c r="P111" s="321"/>
      <c r="Q111" s="321"/>
      <c r="R111" s="321"/>
      <c r="S111" s="321"/>
      <c r="T111" s="321"/>
      <c r="U111" s="321"/>
      <c r="V111" s="321"/>
      <c r="W111" s="321"/>
      <c r="X111" s="321"/>
      <c r="Z111" s="321"/>
      <c r="AA111" s="321"/>
      <c r="AB111" s="321"/>
      <c r="AC111" s="321"/>
      <c r="AD111" s="321"/>
      <c r="AE111" s="321"/>
      <c r="AF111" s="321"/>
      <c r="AG111" s="321"/>
      <c r="AH111" s="321"/>
    </row>
    <row r="112" spans="3:35" outlineLevel="1" collapsed="1">
      <c r="C112" s="208" t="str">
        <v>Spare offer 20</v>
      </c>
      <c r="D112" t="s">
        <v>168</v>
      </c>
      <c r="F112" s="321"/>
      <c r="G112" s="321"/>
      <c r="H112" s="321"/>
      <c r="I112" s="321"/>
      <c r="J112" s="321"/>
      <c r="K112" s="321"/>
      <c r="L112" s="321"/>
      <c r="M112" s="321"/>
      <c r="N112" s="321"/>
      <c r="P112" s="321"/>
      <c r="Q112" s="321"/>
      <c r="R112" s="321"/>
      <c r="S112" s="321"/>
      <c r="T112" s="321"/>
      <c r="U112" s="321"/>
      <c r="V112" s="321"/>
      <c r="W112" s="321"/>
      <c r="X112" s="321"/>
      <c r="Z112" s="321"/>
      <c r="AA112" s="321"/>
      <c r="AB112" s="321"/>
      <c r="AC112" s="321"/>
      <c r="AD112" s="321"/>
      <c r="AE112" s="321"/>
      <c r="AF112" s="321"/>
      <c r="AG112" s="321"/>
      <c r="AH112" s="321"/>
    </row>
    <row r="113" spans="2:73" outlineLevel="1"/>
    <row r="114" spans="2:73" outlineLevel="1">
      <c r="B114">
        <f>MATCH(C114,$C$12:$C$31,0)</f>
        <v>1</v>
      </c>
      <c r="C114" s="73" t="str">
        <f t="array" ref="C114:C115">current.MVNO.and.SP.offer</f>
        <v>Spare offer 1</v>
      </c>
      <c r="D114" s="162">
        <f>E114+O114+Y114</f>
        <v>0</v>
      </c>
      <c r="E114" s="122">
        <f>IF(F114&gt;F115,IF(F115&gt;0,IF(F115&gt;0,1,0)))+IF(G114&gt;G115,IF(G115&gt;0,1,0))+IF(H114&gt;H115,IF(H115&gt;0,1,0))+IF(I114&gt;I115,IF(I115&gt;0,1,0))+IF(J114&gt;J115,IF(J115&gt;0,1,0))+IF(K114&gt;K115,IF(K115&gt;0,1,0))+IF(L114&gt;L115,IF(L115&gt;0,1,0))+IF(M114&gt;M115,IF(M115&gt;0,1,0))+IF(N114&gt;N115,IF(N115&gt;0,1,0))</f>
        <v>0</v>
      </c>
      <c r="F114" s="268">
        <f t="shared" ref="F114:N114" si="15">INDEX(F93:F112,$B114)</f>
        <v>0</v>
      </c>
      <c r="G114" s="268">
        <f t="shared" si="15"/>
        <v>0</v>
      </c>
      <c r="H114" s="268">
        <f t="shared" si="15"/>
        <v>0</v>
      </c>
      <c r="I114" s="268">
        <f t="shared" si="15"/>
        <v>0</v>
      </c>
      <c r="J114" s="268">
        <f t="shared" si="15"/>
        <v>0</v>
      </c>
      <c r="K114" s="268">
        <f t="shared" si="15"/>
        <v>0</v>
      </c>
      <c r="L114" s="268">
        <f t="shared" si="15"/>
        <v>0</v>
      </c>
      <c r="M114" s="268">
        <f t="shared" si="15"/>
        <v>0</v>
      </c>
      <c r="N114" s="268">
        <f t="shared" si="15"/>
        <v>0</v>
      </c>
      <c r="O114" s="122">
        <f>IF(P114&gt;P115,IF(P115&gt;0,IF(P115&gt;0,1,0)))+IF(Q114&gt;Q115,IF(Q115&gt;0,1,0))+IF(R114&gt;R115,IF(R115&gt;0,1,0))+IF(S114&gt;S115,IF(S115&gt;0,1,0))+IF(T114&gt;T115,IF(T115&gt;0,1,0))+IF(U114&gt;U115,IF(U115&gt;0,1,0))+IF(V114&gt;V115,IF(V115&gt;0,1,0))+IF(W114&gt;W115,IF(W115&gt;0,1,0))+IF(X114&gt;X115,IF(X115&gt;0,1,0))</f>
        <v>0</v>
      </c>
      <c r="P114" s="268">
        <f t="shared" ref="P114:X114" si="16">INDEX(P93:P112,$B114)</f>
        <v>0</v>
      </c>
      <c r="Q114" s="268">
        <f t="shared" si="16"/>
        <v>0</v>
      </c>
      <c r="R114" s="268">
        <f t="shared" si="16"/>
        <v>0</v>
      </c>
      <c r="S114" s="268">
        <f t="shared" si="16"/>
        <v>0</v>
      </c>
      <c r="T114" s="268">
        <f t="shared" si="16"/>
        <v>0</v>
      </c>
      <c r="U114" s="268">
        <f t="shared" si="16"/>
        <v>0</v>
      </c>
      <c r="V114" s="268">
        <f t="shared" si="16"/>
        <v>0</v>
      </c>
      <c r="W114" s="268">
        <f t="shared" si="16"/>
        <v>0</v>
      </c>
      <c r="X114" s="268">
        <f t="shared" si="16"/>
        <v>0</v>
      </c>
      <c r="Y114" s="122">
        <f>IF(Z114&gt;Z115,IF(Z115&gt;0,IF(Z115&gt;0,1,0)))+IF(AA114&gt;AA115,IF(AA115&gt;0,1,0))+IF(AB114&gt;AB115,IF(AB115&gt;0,1,0))+IF(AC114&gt;AC115,IF(AC115&gt;0,1,0))+IF(AD114&gt;AD115,IF(AD115&gt;0,1,0))+IF(AE114&gt;AE115,IF(AE115&gt;0,1,0))+IF(AF114&gt;AF115,IF(AF115&gt;0,1,0))+IF(AG114&gt;AG115,IF(AG115&gt;0,1,0))+IF(AH114&gt;AH115,IF(AH115&gt;0,1,0))</f>
        <v>0</v>
      </c>
      <c r="Z114" s="268">
        <f t="shared" ref="Z114:AH114" si="17">INDEX(Z93:Z112,$B114)</f>
        <v>0</v>
      </c>
      <c r="AA114" s="268">
        <f t="shared" si="17"/>
        <v>0</v>
      </c>
      <c r="AB114" s="268">
        <f t="shared" si="17"/>
        <v>0</v>
      </c>
      <c r="AC114" s="268">
        <f t="shared" si="17"/>
        <v>0</v>
      </c>
      <c r="AD114" s="268">
        <f t="shared" si="17"/>
        <v>0</v>
      </c>
      <c r="AE114" s="268">
        <f t="shared" si="17"/>
        <v>0</v>
      </c>
      <c r="AF114" s="268">
        <f t="shared" si="17"/>
        <v>0</v>
      </c>
      <c r="AG114" s="268">
        <f t="shared" si="17"/>
        <v>0</v>
      </c>
      <c r="AH114" s="268">
        <f t="shared" si="17"/>
        <v>0</v>
      </c>
    </row>
    <row r="115" spans="2:73" ht="12" outlineLevel="1">
      <c r="B115">
        <f>MATCH(C115,$C$12:$C$31,0)</f>
        <v>9</v>
      </c>
      <c r="C115" s="73" t="str">
        <v>Spare offer 9</v>
      </c>
      <c r="D115" s="43" t="s">
        <v>540</v>
      </c>
      <c r="F115" s="268">
        <f t="shared" ref="F115:N115" si="18">INDEX(F93:F112,$B115)</f>
        <v>0</v>
      </c>
      <c r="G115" s="268">
        <f t="shared" si="18"/>
        <v>0</v>
      </c>
      <c r="H115" s="268">
        <f t="shared" si="18"/>
        <v>0</v>
      </c>
      <c r="I115" s="268">
        <f t="shared" si="18"/>
        <v>0</v>
      </c>
      <c r="J115" s="268">
        <f t="shared" si="18"/>
        <v>0</v>
      </c>
      <c r="K115" s="268">
        <f t="shared" si="18"/>
        <v>0</v>
      </c>
      <c r="L115" s="268">
        <f t="shared" si="18"/>
        <v>0</v>
      </c>
      <c r="M115" s="268">
        <f t="shared" si="18"/>
        <v>0</v>
      </c>
      <c r="N115" s="268">
        <f t="shared" si="18"/>
        <v>0</v>
      </c>
      <c r="P115" s="268">
        <f>INDEX(P93:P112,$B115)</f>
        <v>0</v>
      </c>
      <c r="Q115" s="268">
        <f t="shared" ref="Q115:X115" si="19">INDEX(Q93:Q112,$B115)</f>
        <v>0</v>
      </c>
      <c r="R115" s="268">
        <f t="shared" si="19"/>
        <v>0</v>
      </c>
      <c r="S115" s="268">
        <f t="shared" si="19"/>
        <v>0</v>
      </c>
      <c r="T115" s="268">
        <f t="shared" si="19"/>
        <v>0</v>
      </c>
      <c r="U115" s="268">
        <f t="shared" si="19"/>
        <v>0</v>
      </c>
      <c r="V115" s="268">
        <f t="shared" si="19"/>
        <v>0</v>
      </c>
      <c r="W115" s="268">
        <f t="shared" si="19"/>
        <v>0</v>
      </c>
      <c r="X115" s="268">
        <f t="shared" si="19"/>
        <v>0</v>
      </c>
      <c r="Z115" s="268">
        <f>INDEX(Z93:Z112,$B115)</f>
        <v>0</v>
      </c>
      <c r="AA115" s="268">
        <f t="shared" ref="AA115:AH115" si="20">INDEX(AA93:AA112,$B115)</f>
        <v>0</v>
      </c>
      <c r="AB115" s="268">
        <f t="shared" si="20"/>
        <v>0</v>
      </c>
      <c r="AC115" s="268">
        <f t="shared" si="20"/>
        <v>0</v>
      </c>
      <c r="AD115" s="268">
        <f t="shared" si="20"/>
        <v>0</v>
      </c>
      <c r="AE115" s="268">
        <f t="shared" si="20"/>
        <v>0</v>
      </c>
      <c r="AF115" s="268">
        <f t="shared" si="20"/>
        <v>0</v>
      </c>
      <c r="AG115" s="268">
        <f t="shared" si="20"/>
        <v>0</v>
      </c>
      <c r="AH115" s="268">
        <f t="shared" si="20"/>
        <v>0</v>
      </c>
    </row>
    <row r="116" spans="2:73" outlineLevel="1"/>
    <row r="117" spans="2:73">
      <c r="B117" s="35" t="s">
        <v>534</v>
      </c>
    </row>
    <row r="118" spans="2:73" outlineLevel="1">
      <c r="C118" s="93" t="s">
        <v>188</v>
      </c>
      <c r="I118" s="213" t="s">
        <v>456</v>
      </c>
      <c r="L118" s="120" t="s">
        <v>384</v>
      </c>
      <c r="M118" s="120"/>
      <c r="N118" s="120"/>
      <c r="O118" s="120"/>
      <c r="P118" s="120"/>
      <c r="Q118" s="120"/>
      <c r="R118" s="120"/>
      <c r="S118" s="120"/>
      <c r="T118" s="120"/>
      <c r="U118" s="120"/>
      <c r="V118" s="120"/>
      <c r="W118" s="120"/>
      <c r="X118" s="120"/>
      <c r="Y118" s="120"/>
      <c r="Z118" s="120"/>
      <c r="AA118" s="120"/>
      <c r="AB118" s="120"/>
      <c r="AC118" s="120"/>
      <c r="AD118" s="120"/>
      <c r="AE118" s="120"/>
      <c r="AG118" s="120" t="s">
        <v>385</v>
      </c>
      <c r="AH118" s="120"/>
      <c r="AI118" s="120"/>
      <c r="AJ118" s="120"/>
      <c r="AK118" s="120"/>
      <c r="AL118" s="120"/>
      <c r="AM118" s="120"/>
      <c r="AN118" s="120"/>
      <c r="AO118" s="120"/>
      <c r="AP118" s="120"/>
      <c r="AQ118" s="120"/>
      <c r="AR118" s="120"/>
      <c r="AS118" s="120"/>
      <c r="AT118" s="120"/>
      <c r="AU118" s="120"/>
      <c r="AV118" s="120"/>
      <c r="AW118" s="120"/>
      <c r="AX118" s="120"/>
      <c r="AY118" s="120"/>
      <c r="AZ118" s="120"/>
      <c r="BB118" s="120" t="s">
        <v>386</v>
      </c>
      <c r="BC118" s="120"/>
      <c r="BD118" s="120"/>
      <c r="BE118" s="120"/>
      <c r="BF118" s="120"/>
      <c r="BG118" s="120"/>
      <c r="BH118" s="120"/>
      <c r="BI118" s="120"/>
      <c r="BJ118" s="120"/>
      <c r="BK118" s="120"/>
      <c r="BL118" s="120"/>
      <c r="BM118" s="120"/>
      <c r="BN118" s="120"/>
      <c r="BO118" s="120"/>
      <c r="BP118" s="120"/>
      <c r="BQ118" s="120"/>
      <c r="BR118" s="120"/>
      <c r="BS118" s="120"/>
      <c r="BT118" s="120"/>
      <c r="BU118" s="120"/>
    </row>
    <row r="119" spans="2:73" ht="23" outlineLevel="1">
      <c r="F119" s="109" t="s">
        <v>183</v>
      </c>
      <c r="G119" s="109" t="s">
        <v>184</v>
      </c>
      <c r="H119" s="109" t="s">
        <v>185</v>
      </c>
      <c r="I119" s="109" t="s">
        <v>187</v>
      </c>
      <c r="J119" s="109" t="s">
        <v>186</v>
      </c>
      <c r="L119" s="1" t="str">
        <f t="array" ref="L119:AE119">TRANSPOSE(wholesale.offers)</f>
        <v>Spare offer 1</v>
      </c>
      <c r="M119" s="1" t="str">
        <v>Spare offer 2</v>
      </c>
      <c r="N119" s="1" t="str">
        <v>Spare offer 3</v>
      </c>
      <c r="O119" s="1" t="str">
        <v>Spare offer 4</v>
      </c>
      <c r="P119" s="1" t="str">
        <v>Spare offer 5</v>
      </c>
      <c r="Q119" s="1" t="str">
        <v>Spare offer 6</v>
      </c>
      <c r="R119" s="1" t="str">
        <v>Spare offer 7</v>
      </c>
      <c r="S119" s="1" t="str">
        <v>Spare offer 8</v>
      </c>
      <c r="T119" s="1" t="str">
        <v>Spare offer 9</v>
      </c>
      <c r="U119" s="1" t="str">
        <v>Spare offer 10</v>
      </c>
      <c r="V119" s="1" t="str">
        <v>Spare offer 11</v>
      </c>
      <c r="W119" s="1" t="str">
        <v>Spare offer 12</v>
      </c>
      <c r="X119" s="1" t="str">
        <v>Spare offer 13</v>
      </c>
      <c r="Y119" s="1" t="str">
        <v>Spare offer 14</v>
      </c>
      <c r="Z119" s="1" t="str">
        <v>Spare offer 15</v>
      </c>
      <c r="AA119" s="1" t="str">
        <v>Spare offer 16</v>
      </c>
      <c r="AB119" s="1" t="str">
        <v>Spare offer 17</v>
      </c>
      <c r="AC119" s="1" t="str">
        <v>Spare offer 18</v>
      </c>
      <c r="AD119" s="1" t="str">
        <v>Spare offer 19</v>
      </c>
      <c r="AE119" s="1" t="str">
        <v>Spare offer 20</v>
      </c>
      <c r="AG119" s="1" t="str">
        <f t="array" ref="AG119:AZ119">TRANSPOSE(wholesale.offers)</f>
        <v>Spare offer 1</v>
      </c>
      <c r="AH119" s="1" t="str">
        <v>Spare offer 2</v>
      </c>
      <c r="AI119" s="1" t="str">
        <v>Spare offer 3</v>
      </c>
      <c r="AJ119" s="1" t="str">
        <v>Spare offer 4</v>
      </c>
      <c r="AK119" s="1" t="str">
        <v>Spare offer 5</v>
      </c>
      <c r="AL119" s="1" t="str">
        <v>Spare offer 6</v>
      </c>
      <c r="AM119" s="1" t="str">
        <v>Spare offer 7</v>
      </c>
      <c r="AN119" s="1" t="str">
        <v>Spare offer 8</v>
      </c>
      <c r="AO119" s="1" t="str">
        <v>Spare offer 9</v>
      </c>
      <c r="AP119" s="1" t="str">
        <v>Spare offer 10</v>
      </c>
      <c r="AQ119" s="1" t="str">
        <v>Spare offer 11</v>
      </c>
      <c r="AR119" s="1" t="str">
        <v>Spare offer 12</v>
      </c>
      <c r="AS119" s="1" t="str">
        <v>Spare offer 13</v>
      </c>
      <c r="AT119" s="1" t="str">
        <v>Spare offer 14</v>
      </c>
      <c r="AU119" s="1" t="str">
        <v>Spare offer 15</v>
      </c>
      <c r="AV119" s="1" t="str">
        <v>Spare offer 16</v>
      </c>
      <c r="AW119" s="1" t="str">
        <v>Spare offer 17</v>
      </c>
      <c r="AX119" s="1" t="str">
        <v>Spare offer 18</v>
      </c>
      <c r="AY119" s="1" t="str">
        <v>Spare offer 19</v>
      </c>
      <c r="AZ119" s="1" t="str">
        <v>Spare offer 20</v>
      </c>
      <c r="BB119" s="1" t="str">
        <f t="array" ref="BB119:BU119">TRANSPOSE(wholesale.offers)</f>
        <v>Spare offer 1</v>
      </c>
      <c r="BC119" s="1" t="str">
        <v>Spare offer 2</v>
      </c>
      <c r="BD119" s="1" t="str">
        <v>Spare offer 3</v>
      </c>
      <c r="BE119" s="1" t="str">
        <v>Spare offer 4</v>
      </c>
      <c r="BF119" s="1" t="str">
        <v>Spare offer 5</v>
      </c>
      <c r="BG119" s="1" t="str">
        <v>Spare offer 6</v>
      </c>
      <c r="BH119" s="1" t="str">
        <v>Spare offer 7</v>
      </c>
      <c r="BI119" s="1" t="str">
        <v>Spare offer 8</v>
      </c>
      <c r="BJ119" s="1" t="str">
        <v>Spare offer 9</v>
      </c>
      <c r="BK119" s="1" t="str">
        <v>Spare offer 10</v>
      </c>
      <c r="BL119" s="1" t="str">
        <v>Spare offer 11</v>
      </c>
      <c r="BM119" s="1" t="str">
        <v>Spare offer 12</v>
      </c>
      <c r="BN119" s="1" t="str">
        <v>Spare offer 13</v>
      </c>
      <c r="BO119" s="1" t="str">
        <v>Spare offer 14</v>
      </c>
      <c r="BP119" s="1" t="str">
        <v>Spare offer 15</v>
      </c>
      <c r="BQ119" s="1" t="str">
        <v>Spare offer 16</v>
      </c>
      <c r="BR119" s="1" t="str">
        <v>Spare offer 17</v>
      </c>
      <c r="BS119" s="1" t="str">
        <v>Spare offer 18</v>
      </c>
      <c r="BT119" s="1" t="str">
        <v>Spare offer 19</v>
      </c>
      <c r="BU119" s="1" t="str">
        <v>Spare offer 20</v>
      </c>
    </row>
    <row r="120" spans="2:73" outlineLevel="1">
      <c r="D120" t="s">
        <v>457</v>
      </c>
      <c r="F120" s="172">
        <f t="shared" ref="F120:F157" si="21">INDEX($L120:$AE120,1,Current.ws.offer)</f>
        <v>0</v>
      </c>
      <c r="G120" s="172">
        <f t="shared" ref="G120:G157" si="22">INDEX($AG120:$AZ120,1,Current.ws.offer)</f>
        <v>0</v>
      </c>
      <c r="H120" s="303">
        <f t="shared" ref="H120:H157" si="23">INDEX($BB120:$BU120,1,Current.ws.offer)</f>
        <v>0</v>
      </c>
      <c r="I120" s="184">
        <v>0</v>
      </c>
      <c r="J120" s="129">
        <f t="shared" ref="J120:J157" si="24">G120-I120</f>
        <v>0</v>
      </c>
      <c r="L120" s="323"/>
      <c r="M120" s="323"/>
      <c r="N120" s="323"/>
      <c r="O120" s="323"/>
      <c r="P120" s="323"/>
      <c r="Q120" s="323"/>
      <c r="R120" s="323"/>
      <c r="S120" s="323"/>
      <c r="T120" s="323"/>
      <c r="U120" s="323"/>
      <c r="V120" s="323"/>
      <c r="W120" s="323"/>
      <c r="X120" s="323"/>
      <c r="Y120" s="323"/>
      <c r="Z120" s="323"/>
      <c r="AA120" s="323"/>
      <c r="AB120" s="323"/>
      <c r="AC120" s="323"/>
      <c r="AD120" s="323"/>
      <c r="AE120" s="323"/>
      <c r="AG120" s="323"/>
      <c r="AH120" s="323"/>
      <c r="AI120" s="323"/>
      <c r="AJ120" s="323"/>
      <c r="AK120" s="323"/>
      <c r="AL120" s="323"/>
      <c r="AM120" s="323"/>
      <c r="AN120" s="323"/>
      <c r="AO120" s="323"/>
      <c r="AP120" s="323"/>
      <c r="AQ120" s="323"/>
      <c r="AR120" s="323"/>
      <c r="AS120" s="323"/>
      <c r="AT120" s="323"/>
      <c r="AU120" s="323"/>
      <c r="AV120" s="323"/>
      <c r="AW120" s="323"/>
      <c r="AX120" s="323"/>
      <c r="AY120" s="323"/>
      <c r="AZ120" s="323"/>
      <c r="BB120" s="323"/>
      <c r="BC120" s="323"/>
      <c r="BD120" s="323"/>
      <c r="BE120" s="323"/>
      <c r="BF120" s="323"/>
      <c r="BG120" s="323"/>
      <c r="BH120" s="323"/>
      <c r="BI120" s="323"/>
      <c r="BJ120" s="323"/>
      <c r="BK120" s="323"/>
      <c r="BL120" s="323"/>
      <c r="BM120" s="323"/>
      <c r="BN120" s="323"/>
      <c r="BO120" s="323"/>
      <c r="BP120" s="323"/>
      <c r="BQ120" s="323"/>
      <c r="BR120" s="323"/>
      <c r="BS120" s="323"/>
      <c r="BT120" s="323"/>
      <c r="BU120" s="323"/>
    </row>
    <row r="121" spans="2:73" outlineLevel="1">
      <c r="D121" t="s">
        <v>457</v>
      </c>
      <c r="F121" s="172">
        <f t="shared" si="21"/>
        <v>0</v>
      </c>
      <c r="G121" s="172">
        <f t="shared" si="22"/>
        <v>0</v>
      </c>
      <c r="H121" s="303">
        <f t="shared" si="23"/>
        <v>0</v>
      </c>
      <c r="I121" s="123">
        <f t="shared" ref="I121:I158" si="25">G120</f>
        <v>0</v>
      </c>
      <c r="J121" s="129">
        <f t="shared" si="24"/>
        <v>0</v>
      </c>
      <c r="L121" s="323"/>
      <c r="M121" s="323"/>
      <c r="N121" s="323"/>
      <c r="O121" s="323"/>
      <c r="P121" s="323"/>
      <c r="Q121" s="323"/>
      <c r="R121" s="323"/>
      <c r="S121" s="323"/>
      <c r="T121" s="323"/>
      <c r="U121" s="323"/>
      <c r="V121" s="323"/>
      <c r="W121" s="323"/>
      <c r="X121" s="323"/>
      <c r="Y121" s="323"/>
      <c r="Z121" s="323"/>
      <c r="AA121" s="323"/>
      <c r="AB121" s="323"/>
      <c r="AC121" s="323"/>
      <c r="AD121" s="323"/>
      <c r="AE121" s="323"/>
      <c r="AG121" s="323"/>
      <c r="AH121" s="323"/>
      <c r="AI121" s="323"/>
      <c r="AJ121" s="323"/>
      <c r="AK121" s="323"/>
      <c r="AL121" s="323"/>
      <c r="AM121" s="323"/>
      <c r="AN121" s="323"/>
      <c r="AO121" s="323"/>
      <c r="AP121" s="323"/>
      <c r="AQ121" s="323"/>
      <c r="AR121" s="323"/>
      <c r="AS121" s="323"/>
      <c r="AT121" s="323"/>
      <c r="AU121" s="323"/>
      <c r="AV121" s="323"/>
      <c r="AW121" s="323"/>
      <c r="AX121" s="323"/>
      <c r="AY121" s="323"/>
      <c r="AZ121" s="323"/>
      <c r="BB121" s="323"/>
      <c r="BC121" s="323"/>
      <c r="BD121" s="323"/>
      <c r="BE121" s="323"/>
      <c r="BF121" s="323"/>
      <c r="BG121" s="323"/>
      <c r="BH121" s="323"/>
      <c r="BI121" s="323"/>
      <c r="BJ121" s="323"/>
      <c r="BK121" s="323"/>
      <c r="BL121" s="323"/>
      <c r="BM121" s="323"/>
      <c r="BN121" s="323"/>
      <c r="BO121" s="323"/>
      <c r="BP121" s="323"/>
      <c r="BQ121" s="323"/>
      <c r="BR121" s="323"/>
      <c r="BS121" s="323"/>
      <c r="BT121" s="323"/>
      <c r="BU121" s="323"/>
    </row>
    <row r="122" spans="2:73" hidden="1" outlineLevel="2">
      <c r="D122" t="s">
        <v>457</v>
      </c>
      <c r="F122" s="172">
        <f t="shared" si="21"/>
        <v>0</v>
      </c>
      <c r="G122" s="172">
        <f t="shared" si="22"/>
        <v>0</v>
      </c>
      <c r="H122" s="303">
        <f t="shared" si="23"/>
        <v>0</v>
      </c>
      <c r="I122" s="123">
        <f t="shared" si="25"/>
        <v>0</v>
      </c>
      <c r="J122" s="129">
        <f t="shared" si="24"/>
        <v>0</v>
      </c>
      <c r="L122" s="323"/>
      <c r="M122" s="323"/>
      <c r="N122" s="323"/>
      <c r="O122" s="323"/>
      <c r="P122" s="323"/>
      <c r="Q122" s="323"/>
      <c r="R122" s="323"/>
      <c r="S122" s="323"/>
      <c r="T122" s="323"/>
      <c r="U122" s="323"/>
      <c r="V122" s="323"/>
      <c r="W122" s="323"/>
      <c r="X122" s="323"/>
      <c r="Y122" s="323"/>
      <c r="Z122" s="323"/>
      <c r="AA122" s="323"/>
      <c r="AB122" s="323"/>
      <c r="AC122" s="323"/>
      <c r="AD122" s="323"/>
      <c r="AE122" s="323"/>
      <c r="AG122" s="323"/>
      <c r="AH122" s="323"/>
      <c r="AI122" s="323"/>
      <c r="AJ122" s="323"/>
      <c r="AK122" s="323"/>
      <c r="AL122" s="323"/>
      <c r="AM122" s="323"/>
      <c r="AN122" s="323"/>
      <c r="AO122" s="323"/>
      <c r="AP122" s="323"/>
      <c r="AQ122" s="323"/>
      <c r="AR122" s="323"/>
      <c r="AS122" s="323"/>
      <c r="AT122" s="323"/>
      <c r="AU122" s="323"/>
      <c r="AV122" s="323"/>
      <c r="AW122" s="323"/>
      <c r="AX122" s="323"/>
      <c r="AY122" s="323"/>
      <c r="AZ122" s="323"/>
      <c r="BB122" s="323"/>
      <c r="BC122" s="323"/>
      <c r="BD122" s="323"/>
      <c r="BE122" s="323"/>
      <c r="BF122" s="323"/>
      <c r="BG122" s="323"/>
      <c r="BH122" s="323"/>
      <c r="BI122" s="323"/>
      <c r="BJ122" s="323"/>
      <c r="BK122" s="323"/>
      <c r="BL122" s="323"/>
      <c r="BM122" s="323"/>
      <c r="BN122" s="323"/>
      <c r="BO122" s="323"/>
      <c r="BP122" s="323"/>
      <c r="BQ122" s="323"/>
      <c r="BR122" s="323"/>
      <c r="BS122" s="323"/>
      <c r="BT122" s="323"/>
      <c r="BU122" s="323"/>
    </row>
    <row r="123" spans="2:73" hidden="1" outlineLevel="2">
      <c r="D123" t="s">
        <v>457</v>
      </c>
      <c r="F123" s="172">
        <f t="shared" si="21"/>
        <v>0</v>
      </c>
      <c r="G123" s="172">
        <f t="shared" si="22"/>
        <v>0</v>
      </c>
      <c r="H123" s="303">
        <f t="shared" si="23"/>
        <v>0</v>
      </c>
      <c r="I123" s="123">
        <f t="shared" si="25"/>
        <v>0</v>
      </c>
      <c r="J123" s="129">
        <f t="shared" si="24"/>
        <v>0</v>
      </c>
      <c r="L123" s="323"/>
      <c r="M123" s="323"/>
      <c r="N123" s="323"/>
      <c r="O123" s="323"/>
      <c r="P123" s="323"/>
      <c r="Q123" s="323"/>
      <c r="R123" s="323"/>
      <c r="S123" s="323"/>
      <c r="T123" s="323"/>
      <c r="U123" s="323"/>
      <c r="V123" s="323"/>
      <c r="W123" s="323"/>
      <c r="X123" s="323"/>
      <c r="Y123" s="323"/>
      <c r="Z123" s="323"/>
      <c r="AA123" s="323"/>
      <c r="AB123" s="323"/>
      <c r="AC123" s="323"/>
      <c r="AD123" s="323"/>
      <c r="AE123" s="323"/>
      <c r="AG123" s="323"/>
      <c r="AH123" s="323"/>
      <c r="AI123" s="323"/>
      <c r="AJ123" s="323"/>
      <c r="AK123" s="323"/>
      <c r="AL123" s="323"/>
      <c r="AM123" s="323"/>
      <c r="AN123" s="323"/>
      <c r="AO123" s="323"/>
      <c r="AP123" s="323"/>
      <c r="AQ123" s="323"/>
      <c r="AR123" s="323"/>
      <c r="AS123" s="323"/>
      <c r="AT123" s="323"/>
      <c r="AU123" s="323"/>
      <c r="AV123" s="323"/>
      <c r="AW123" s="323"/>
      <c r="AX123" s="323"/>
      <c r="AY123" s="323"/>
      <c r="AZ123" s="323"/>
      <c r="BB123" s="323"/>
      <c r="BC123" s="323"/>
      <c r="BD123" s="323"/>
      <c r="BE123" s="323"/>
      <c r="BF123" s="323"/>
      <c r="BG123" s="323"/>
      <c r="BH123" s="323"/>
      <c r="BI123" s="323"/>
      <c r="BJ123" s="323"/>
      <c r="BK123" s="323"/>
      <c r="BL123" s="323"/>
      <c r="BM123" s="323"/>
      <c r="BN123" s="323"/>
      <c r="BO123" s="323"/>
      <c r="BP123" s="323"/>
      <c r="BQ123" s="323"/>
      <c r="BR123" s="323"/>
      <c r="BS123" s="323"/>
      <c r="BT123" s="323"/>
      <c r="BU123" s="323"/>
    </row>
    <row r="124" spans="2:73" hidden="1" outlineLevel="2">
      <c r="D124" t="s">
        <v>457</v>
      </c>
      <c r="F124" s="172">
        <f t="shared" si="21"/>
        <v>0</v>
      </c>
      <c r="G124" s="172">
        <f t="shared" si="22"/>
        <v>0</v>
      </c>
      <c r="H124" s="303">
        <f t="shared" si="23"/>
        <v>0</v>
      </c>
      <c r="I124" s="123">
        <f t="shared" si="25"/>
        <v>0</v>
      </c>
      <c r="J124" s="129">
        <f t="shared" si="24"/>
        <v>0</v>
      </c>
      <c r="L124" s="323"/>
      <c r="M124" s="323"/>
      <c r="N124" s="323"/>
      <c r="O124" s="323"/>
      <c r="P124" s="323"/>
      <c r="Q124" s="323"/>
      <c r="R124" s="323"/>
      <c r="S124" s="323"/>
      <c r="T124" s="323"/>
      <c r="U124" s="323"/>
      <c r="V124" s="323"/>
      <c r="W124" s="323"/>
      <c r="X124" s="323"/>
      <c r="Y124" s="323"/>
      <c r="Z124" s="323"/>
      <c r="AA124" s="323"/>
      <c r="AB124" s="323"/>
      <c r="AC124" s="323"/>
      <c r="AD124" s="323"/>
      <c r="AE124" s="323"/>
      <c r="AG124" s="323"/>
      <c r="AH124" s="323"/>
      <c r="AI124" s="323"/>
      <c r="AJ124" s="323"/>
      <c r="AK124" s="323"/>
      <c r="AL124" s="323"/>
      <c r="AM124" s="323"/>
      <c r="AN124" s="323"/>
      <c r="AO124" s="323"/>
      <c r="AP124" s="323"/>
      <c r="AQ124" s="323"/>
      <c r="AR124" s="323"/>
      <c r="AS124" s="323"/>
      <c r="AT124" s="323"/>
      <c r="AU124" s="323"/>
      <c r="AV124" s="323"/>
      <c r="AW124" s="323"/>
      <c r="AX124" s="323"/>
      <c r="AY124" s="323"/>
      <c r="AZ124" s="323"/>
      <c r="BB124" s="323"/>
      <c r="BC124" s="323"/>
      <c r="BD124" s="323"/>
      <c r="BE124" s="323"/>
      <c r="BF124" s="323"/>
      <c r="BG124" s="323"/>
      <c r="BH124" s="323"/>
      <c r="BI124" s="323"/>
      <c r="BJ124" s="323"/>
      <c r="BK124" s="323"/>
      <c r="BL124" s="323"/>
      <c r="BM124" s="323"/>
      <c r="BN124" s="323"/>
      <c r="BO124" s="323"/>
      <c r="BP124" s="323"/>
      <c r="BQ124" s="323"/>
      <c r="BR124" s="323"/>
      <c r="BS124" s="323"/>
      <c r="BT124" s="323"/>
      <c r="BU124" s="323"/>
    </row>
    <row r="125" spans="2:73" hidden="1" outlineLevel="2">
      <c r="D125" t="s">
        <v>457</v>
      </c>
      <c r="F125" s="172">
        <f t="shared" si="21"/>
        <v>0</v>
      </c>
      <c r="G125" s="172">
        <f t="shared" si="22"/>
        <v>0</v>
      </c>
      <c r="H125" s="303">
        <f t="shared" si="23"/>
        <v>0</v>
      </c>
      <c r="I125" s="123">
        <f t="shared" si="25"/>
        <v>0</v>
      </c>
      <c r="J125" s="129">
        <f t="shared" si="24"/>
        <v>0</v>
      </c>
      <c r="L125" s="323"/>
      <c r="M125" s="323"/>
      <c r="N125" s="323"/>
      <c r="O125" s="323"/>
      <c r="P125" s="323"/>
      <c r="Q125" s="323"/>
      <c r="R125" s="323"/>
      <c r="S125" s="323"/>
      <c r="T125" s="323"/>
      <c r="U125" s="323"/>
      <c r="V125" s="323"/>
      <c r="W125" s="323"/>
      <c r="X125" s="323"/>
      <c r="Y125" s="323"/>
      <c r="Z125" s="323"/>
      <c r="AA125" s="323"/>
      <c r="AB125" s="323"/>
      <c r="AC125" s="323"/>
      <c r="AD125" s="323"/>
      <c r="AE125" s="323"/>
      <c r="AG125" s="323"/>
      <c r="AH125" s="323"/>
      <c r="AI125" s="323"/>
      <c r="AJ125" s="323"/>
      <c r="AK125" s="323"/>
      <c r="AL125" s="323"/>
      <c r="AM125" s="323"/>
      <c r="AN125" s="323"/>
      <c r="AO125" s="323"/>
      <c r="AP125" s="323"/>
      <c r="AQ125" s="323"/>
      <c r="AR125" s="323"/>
      <c r="AS125" s="323"/>
      <c r="AT125" s="323"/>
      <c r="AU125" s="323"/>
      <c r="AV125" s="323"/>
      <c r="AW125" s="323"/>
      <c r="AX125" s="323"/>
      <c r="AY125" s="323"/>
      <c r="AZ125" s="323"/>
      <c r="BB125" s="323"/>
      <c r="BC125" s="323"/>
      <c r="BD125" s="323"/>
      <c r="BE125" s="323"/>
      <c r="BF125" s="323"/>
      <c r="BG125" s="323"/>
      <c r="BH125" s="323"/>
      <c r="BI125" s="323"/>
      <c r="BJ125" s="323"/>
      <c r="BK125" s="323"/>
      <c r="BL125" s="323"/>
      <c r="BM125" s="323"/>
      <c r="BN125" s="323"/>
      <c r="BO125" s="323"/>
      <c r="BP125" s="323"/>
      <c r="BQ125" s="323"/>
      <c r="BR125" s="323"/>
      <c r="BS125" s="323"/>
      <c r="BT125" s="323"/>
      <c r="BU125" s="323"/>
    </row>
    <row r="126" spans="2:73" hidden="1" outlineLevel="2">
      <c r="D126" t="s">
        <v>457</v>
      </c>
      <c r="F126" s="172">
        <f t="shared" si="21"/>
        <v>0</v>
      </c>
      <c r="G126" s="172">
        <f t="shared" si="22"/>
        <v>0</v>
      </c>
      <c r="H126" s="303">
        <f t="shared" si="23"/>
        <v>0</v>
      </c>
      <c r="I126" s="123">
        <f t="shared" si="25"/>
        <v>0</v>
      </c>
      <c r="J126" s="129">
        <f>G126-I126</f>
        <v>0</v>
      </c>
      <c r="L126" s="323"/>
      <c r="M126" s="323"/>
      <c r="N126" s="323"/>
      <c r="O126" s="323"/>
      <c r="P126" s="323"/>
      <c r="Q126" s="323"/>
      <c r="R126" s="323"/>
      <c r="S126" s="323"/>
      <c r="T126" s="323"/>
      <c r="U126" s="323"/>
      <c r="V126" s="323"/>
      <c r="W126" s="323"/>
      <c r="X126" s="323"/>
      <c r="Y126" s="323"/>
      <c r="Z126" s="323"/>
      <c r="AA126" s="323"/>
      <c r="AB126" s="323"/>
      <c r="AC126" s="323"/>
      <c r="AD126" s="323"/>
      <c r="AE126" s="323"/>
      <c r="AG126" s="323"/>
      <c r="AH126" s="323"/>
      <c r="AI126" s="323"/>
      <c r="AJ126" s="323"/>
      <c r="AK126" s="323"/>
      <c r="AL126" s="323"/>
      <c r="AM126" s="323"/>
      <c r="AN126" s="323"/>
      <c r="AO126" s="323"/>
      <c r="AP126" s="323"/>
      <c r="AQ126" s="323"/>
      <c r="AR126" s="323"/>
      <c r="AS126" s="323"/>
      <c r="AT126" s="323"/>
      <c r="AU126" s="323"/>
      <c r="AV126" s="323"/>
      <c r="AW126" s="323"/>
      <c r="AX126" s="323"/>
      <c r="AY126" s="323"/>
      <c r="AZ126" s="323"/>
      <c r="BB126" s="323"/>
      <c r="BC126" s="323"/>
      <c r="BD126" s="323"/>
      <c r="BE126" s="323"/>
      <c r="BF126" s="323"/>
      <c r="BG126" s="323"/>
      <c r="BH126" s="323"/>
      <c r="BI126" s="323"/>
      <c r="BJ126" s="323"/>
      <c r="BK126" s="323"/>
      <c r="BL126" s="323"/>
      <c r="BM126" s="323"/>
      <c r="BN126" s="323"/>
      <c r="BO126" s="323"/>
      <c r="BP126" s="323"/>
      <c r="BQ126" s="323"/>
      <c r="BR126" s="323"/>
      <c r="BS126" s="323"/>
      <c r="BT126" s="323"/>
      <c r="BU126" s="323"/>
    </row>
    <row r="127" spans="2:73" hidden="1" outlineLevel="2">
      <c r="D127" t="s">
        <v>457</v>
      </c>
      <c r="F127" s="172">
        <f t="shared" si="21"/>
        <v>0</v>
      </c>
      <c r="G127" s="172">
        <f t="shared" si="22"/>
        <v>0</v>
      </c>
      <c r="H127" s="303">
        <f t="shared" si="23"/>
        <v>0</v>
      </c>
      <c r="I127" s="123">
        <f t="shared" si="25"/>
        <v>0</v>
      </c>
      <c r="J127" s="129">
        <f t="shared" si="24"/>
        <v>0</v>
      </c>
      <c r="L127" s="323"/>
      <c r="M127" s="323"/>
      <c r="N127" s="323"/>
      <c r="O127" s="323"/>
      <c r="P127" s="323"/>
      <c r="Q127" s="323"/>
      <c r="R127" s="323"/>
      <c r="S127" s="323"/>
      <c r="T127" s="323"/>
      <c r="U127" s="323"/>
      <c r="V127" s="323"/>
      <c r="W127" s="323"/>
      <c r="X127" s="323"/>
      <c r="Y127" s="323"/>
      <c r="Z127" s="323"/>
      <c r="AA127" s="323"/>
      <c r="AB127" s="323"/>
      <c r="AC127" s="323"/>
      <c r="AD127" s="323"/>
      <c r="AE127" s="323"/>
      <c r="AG127" s="323"/>
      <c r="AH127" s="323"/>
      <c r="AI127" s="323"/>
      <c r="AJ127" s="323"/>
      <c r="AK127" s="323"/>
      <c r="AL127" s="323"/>
      <c r="AM127" s="323"/>
      <c r="AN127" s="323"/>
      <c r="AO127" s="323"/>
      <c r="AP127" s="323"/>
      <c r="AQ127" s="323"/>
      <c r="AR127" s="323"/>
      <c r="AS127" s="323"/>
      <c r="AT127" s="323"/>
      <c r="AU127" s="323"/>
      <c r="AV127" s="323"/>
      <c r="AW127" s="323"/>
      <c r="AX127" s="323"/>
      <c r="AY127" s="323"/>
      <c r="AZ127" s="323"/>
      <c r="BB127" s="323"/>
      <c r="BC127" s="323"/>
      <c r="BD127" s="323"/>
      <c r="BE127" s="323"/>
      <c r="BF127" s="323"/>
      <c r="BG127" s="323"/>
      <c r="BH127" s="323"/>
      <c r="BI127" s="323"/>
      <c r="BJ127" s="323"/>
      <c r="BK127" s="323"/>
      <c r="BL127" s="323"/>
      <c r="BM127" s="323"/>
      <c r="BN127" s="323"/>
      <c r="BO127" s="323"/>
      <c r="BP127" s="323"/>
      <c r="BQ127" s="323"/>
      <c r="BR127" s="323"/>
      <c r="BS127" s="323"/>
      <c r="BT127" s="323"/>
      <c r="BU127" s="323"/>
    </row>
    <row r="128" spans="2:73" hidden="1" outlineLevel="2">
      <c r="D128" t="s">
        <v>457</v>
      </c>
      <c r="F128" s="172">
        <f t="shared" si="21"/>
        <v>0</v>
      </c>
      <c r="G128" s="172">
        <f t="shared" si="22"/>
        <v>0</v>
      </c>
      <c r="H128" s="303">
        <f t="shared" si="23"/>
        <v>0</v>
      </c>
      <c r="I128" s="123">
        <f t="shared" si="25"/>
        <v>0</v>
      </c>
      <c r="J128" s="129">
        <f t="shared" si="24"/>
        <v>0</v>
      </c>
      <c r="L128" s="323"/>
      <c r="M128" s="323"/>
      <c r="N128" s="323"/>
      <c r="O128" s="323"/>
      <c r="P128" s="323"/>
      <c r="Q128" s="323"/>
      <c r="R128" s="323"/>
      <c r="S128" s="323"/>
      <c r="T128" s="323"/>
      <c r="U128" s="323"/>
      <c r="V128" s="323"/>
      <c r="W128" s="323"/>
      <c r="X128" s="323"/>
      <c r="Y128" s="323"/>
      <c r="Z128" s="323"/>
      <c r="AA128" s="323"/>
      <c r="AB128" s="323"/>
      <c r="AC128" s="323"/>
      <c r="AD128" s="323"/>
      <c r="AE128" s="323"/>
      <c r="AG128" s="323"/>
      <c r="AH128" s="323"/>
      <c r="AI128" s="323"/>
      <c r="AJ128" s="323"/>
      <c r="AK128" s="323"/>
      <c r="AL128" s="323"/>
      <c r="AM128" s="323"/>
      <c r="AN128" s="323"/>
      <c r="AO128" s="323"/>
      <c r="AP128" s="323"/>
      <c r="AQ128" s="323"/>
      <c r="AR128" s="323"/>
      <c r="AS128" s="323"/>
      <c r="AT128" s="323"/>
      <c r="AU128" s="323"/>
      <c r="AV128" s="323"/>
      <c r="AW128" s="323"/>
      <c r="AX128" s="323"/>
      <c r="AY128" s="323"/>
      <c r="AZ128" s="323"/>
      <c r="BB128" s="323"/>
      <c r="BC128" s="323"/>
      <c r="BD128" s="323"/>
      <c r="BE128" s="323"/>
      <c r="BF128" s="323"/>
      <c r="BG128" s="323"/>
      <c r="BH128" s="323"/>
      <c r="BI128" s="323"/>
      <c r="BJ128" s="323"/>
      <c r="BK128" s="323"/>
      <c r="BL128" s="323"/>
      <c r="BM128" s="323"/>
      <c r="BN128" s="323"/>
      <c r="BO128" s="323"/>
      <c r="BP128" s="323"/>
      <c r="BQ128" s="323"/>
      <c r="BR128" s="323"/>
      <c r="BS128" s="323"/>
      <c r="BT128" s="323"/>
      <c r="BU128" s="323"/>
    </row>
    <row r="129" spans="4:73" hidden="1" outlineLevel="2">
      <c r="D129" t="s">
        <v>457</v>
      </c>
      <c r="F129" s="172">
        <f t="shared" si="21"/>
        <v>0</v>
      </c>
      <c r="G129" s="172">
        <f t="shared" si="22"/>
        <v>0</v>
      </c>
      <c r="H129" s="303">
        <f t="shared" si="23"/>
        <v>0</v>
      </c>
      <c r="I129" s="123">
        <f t="shared" si="25"/>
        <v>0</v>
      </c>
      <c r="J129" s="129">
        <f t="shared" si="24"/>
        <v>0</v>
      </c>
      <c r="L129" s="323"/>
      <c r="M129" s="323"/>
      <c r="N129" s="323"/>
      <c r="O129" s="323"/>
      <c r="P129" s="323"/>
      <c r="Q129" s="323"/>
      <c r="R129" s="323"/>
      <c r="S129" s="323"/>
      <c r="T129" s="323"/>
      <c r="U129" s="323"/>
      <c r="V129" s="323"/>
      <c r="W129" s="323"/>
      <c r="X129" s="323"/>
      <c r="Y129" s="323"/>
      <c r="Z129" s="323"/>
      <c r="AA129" s="323"/>
      <c r="AB129" s="323"/>
      <c r="AC129" s="323"/>
      <c r="AD129" s="323"/>
      <c r="AE129" s="323"/>
      <c r="AG129" s="323"/>
      <c r="AH129" s="323"/>
      <c r="AI129" s="323"/>
      <c r="AJ129" s="323"/>
      <c r="AK129" s="323"/>
      <c r="AL129" s="323"/>
      <c r="AM129" s="323"/>
      <c r="AN129" s="323"/>
      <c r="AO129" s="323"/>
      <c r="AP129" s="323"/>
      <c r="AQ129" s="323"/>
      <c r="AR129" s="323"/>
      <c r="AS129" s="323"/>
      <c r="AT129" s="323"/>
      <c r="AU129" s="323"/>
      <c r="AV129" s="323"/>
      <c r="AW129" s="323"/>
      <c r="AX129" s="323"/>
      <c r="AY129" s="323"/>
      <c r="AZ129" s="323"/>
      <c r="BB129" s="323"/>
      <c r="BC129" s="323"/>
      <c r="BD129" s="323"/>
      <c r="BE129" s="323"/>
      <c r="BF129" s="323"/>
      <c r="BG129" s="323"/>
      <c r="BH129" s="323"/>
      <c r="BI129" s="323"/>
      <c r="BJ129" s="323"/>
      <c r="BK129" s="323"/>
      <c r="BL129" s="323"/>
      <c r="BM129" s="323"/>
      <c r="BN129" s="323"/>
      <c r="BO129" s="323"/>
      <c r="BP129" s="323"/>
      <c r="BQ129" s="323"/>
      <c r="BR129" s="323"/>
      <c r="BS129" s="323"/>
      <c r="BT129" s="323"/>
      <c r="BU129" s="323"/>
    </row>
    <row r="130" spans="4:73" hidden="1" outlineLevel="2">
      <c r="D130" t="s">
        <v>457</v>
      </c>
      <c r="F130" s="172">
        <f t="shared" si="21"/>
        <v>0</v>
      </c>
      <c r="G130" s="172">
        <f t="shared" si="22"/>
        <v>0</v>
      </c>
      <c r="H130" s="303">
        <f t="shared" si="23"/>
        <v>0</v>
      </c>
      <c r="I130" s="123">
        <f t="shared" si="25"/>
        <v>0</v>
      </c>
      <c r="J130" s="129">
        <f t="shared" si="24"/>
        <v>0</v>
      </c>
      <c r="L130" s="323"/>
      <c r="M130" s="323"/>
      <c r="N130" s="323"/>
      <c r="O130" s="323"/>
      <c r="P130" s="323"/>
      <c r="Q130" s="323"/>
      <c r="R130" s="323"/>
      <c r="S130" s="323"/>
      <c r="T130" s="323"/>
      <c r="U130" s="323"/>
      <c r="V130" s="323"/>
      <c r="W130" s="323"/>
      <c r="X130" s="323"/>
      <c r="Y130" s="323"/>
      <c r="Z130" s="323"/>
      <c r="AA130" s="323"/>
      <c r="AB130" s="323"/>
      <c r="AC130" s="323"/>
      <c r="AD130" s="323"/>
      <c r="AE130" s="323"/>
      <c r="AG130" s="323"/>
      <c r="AH130" s="323"/>
      <c r="AI130" s="323"/>
      <c r="AJ130" s="323"/>
      <c r="AK130" s="323"/>
      <c r="AL130" s="323"/>
      <c r="AM130" s="323"/>
      <c r="AN130" s="323"/>
      <c r="AO130" s="323"/>
      <c r="AP130" s="323"/>
      <c r="AQ130" s="323"/>
      <c r="AR130" s="323"/>
      <c r="AS130" s="323"/>
      <c r="AT130" s="323"/>
      <c r="AU130" s="323"/>
      <c r="AV130" s="323"/>
      <c r="AW130" s="323"/>
      <c r="AX130" s="323"/>
      <c r="AY130" s="323"/>
      <c r="AZ130" s="323"/>
      <c r="BB130" s="323"/>
      <c r="BC130" s="323"/>
      <c r="BD130" s="323"/>
      <c r="BE130" s="323"/>
      <c r="BF130" s="323"/>
      <c r="BG130" s="323"/>
      <c r="BH130" s="323"/>
      <c r="BI130" s="323"/>
      <c r="BJ130" s="323"/>
      <c r="BK130" s="323"/>
      <c r="BL130" s="323"/>
      <c r="BM130" s="323"/>
      <c r="BN130" s="323"/>
      <c r="BO130" s="323"/>
      <c r="BP130" s="323"/>
      <c r="BQ130" s="323"/>
      <c r="BR130" s="323"/>
      <c r="BS130" s="323"/>
      <c r="BT130" s="323"/>
      <c r="BU130" s="323"/>
    </row>
    <row r="131" spans="4:73" hidden="1" outlineLevel="2">
      <c r="D131" t="s">
        <v>457</v>
      </c>
      <c r="F131" s="172">
        <f t="shared" si="21"/>
        <v>0</v>
      </c>
      <c r="G131" s="172">
        <f t="shared" si="22"/>
        <v>0</v>
      </c>
      <c r="H131" s="303">
        <f t="shared" si="23"/>
        <v>0</v>
      </c>
      <c r="I131" s="123">
        <f t="shared" si="25"/>
        <v>0</v>
      </c>
      <c r="J131" s="129">
        <f t="shared" si="24"/>
        <v>0</v>
      </c>
      <c r="L131" s="323"/>
      <c r="M131" s="323"/>
      <c r="N131" s="323"/>
      <c r="O131" s="323"/>
      <c r="P131" s="323"/>
      <c r="Q131" s="323"/>
      <c r="R131" s="323"/>
      <c r="S131" s="323"/>
      <c r="T131" s="323"/>
      <c r="U131" s="323"/>
      <c r="V131" s="323"/>
      <c r="W131" s="323"/>
      <c r="X131" s="323"/>
      <c r="Y131" s="323"/>
      <c r="Z131" s="323"/>
      <c r="AA131" s="323"/>
      <c r="AB131" s="323"/>
      <c r="AC131" s="323"/>
      <c r="AD131" s="323"/>
      <c r="AE131" s="323"/>
      <c r="AG131" s="323"/>
      <c r="AH131" s="323"/>
      <c r="AI131" s="323"/>
      <c r="AJ131" s="323"/>
      <c r="AK131" s="323"/>
      <c r="AL131" s="323"/>
      <c r="AM131" s="323"/>
      <c r="AN131" s="323"/>
      <c r="AO131" s="323"/>
      <c r="AP131" s="323"/>
      <c r="AQ131" s="323"/>
      <c r="AR131" s="323"/>
      <c r="AS131" s="323"/>
      <c r="AT131" s="323"/>
      <c r="AU131" s="323"/>
      <c r="AV131" s="323"/>
      <c r="AW131" s="323"/>
      <c r="AX131" s="323"/>
      <c r="AY131" s="323"/>
      <c r="AZ131" s="323"/>
      <c r="BB131" s="323"/>
      <c r="BC131" s="323"/>
      <c r="BD131" s="323"/>
      <c r="BE131" s="323"/>
      <c r="BF131" s="323"/>
      <c r="BG131" s="323"/>
      <c r="BH131" s="323"/>
      <c r="BI131" s="323"/>
      <c r="BJ131" s="323"/>
      <c r="BK131" s="323"/>
      <c r="BL131" s="323"/>
      <c r="BM131" s="323"/>
      <c r="BN131" s="323"/>
      <c r="BO131" s="323"/>
      <c r="BP131" s="323"/>
      <c r="BQ131" s="323"/>
      <c r="BR131" s="323"/>
      <c r="BS131" s="323"/>
      <c r="BT131" s="323"/>
      <c r="BU131" s="323"/>
    </row>
    <row r="132" spans="4:73" hidden="1" outlineLevel="2">
      <c r="D132" t="s">
        <v>457</v>
      </c>
      <c r="F132" s="172">
        <f t="shared" si="21"/>
        <v>0</v>
      </c>
      <c r="G132" s="172">
        <f t="shared" si="22"/>
        <v>0</v>
      </c>
      <c r="H132" s="303">
        <f t="shared" si="23"/>
        <v>0</v>
      </c>
      <c r="I132" s="123">
        <f t="shared" si="25"/>
        <v>0</v>
      </c>
      <c r="J132" s="129">
        <f t="shared" si="24"/>
        <v>0</v>
      </c>
      <c r="L132" s="323"/>
      <c r="M132" s="323"/>
      <c r="N132" s="323"/>
      <c r="O132" s="323"/>
      <c r="P132" s="323"/>
      <c r="Q132" s="323"/>
      <c r="R132" s="323"/>
      <c r="S132" s="323"/>
      <c r="T132" s="323"/>
      <c r="U132" s="323"/>
      <c r="V132" s="323"/>
      <c r="W132" s="323"/>
      <c r="X132" s="323"/>
      <c r="Y132" s="323"/>
      <c r="Z132" s="323"/>
      <c r="AA132" s="323"/>
      <c r="AB132" s="323"/>
      <c r="AC132" s="323"/>
      <c r="AD132" s="323"/>
      <c r="AE132" s="323"/>
      <c r="AG132" s="323"/>
      <c r="AH132" s="323"/>
      <c r="AI132" s="323"/>
      <c r="AJ132" s="323"/>
      <c r="AK132" s="323"/>
      <c r="AL132" s="323"/>
      <c r="AM132" s="323"/>
      <c r="AN132" s="323"/>
      <c r="AO132" s="323"/>
      <c r="AP132" s="323"/>
      <c r="AQ132" s="323"/>
      <c r="AR132" s="323"/>
      <c r="AS132" s="323"/>
      <c r="AT132" s="323"/>
      <c r="AU132" s="323"/>
      <c r="AV132" s="323"/>
      <c r="AW132" s="323"/>
      <c r="AX132" s="323"/>
      <c r="AY132" s="323"/>
      <c r="AZ132" s="323"/>
      <c r="BB132" s="323"/>
      <c r="BC132" s="323"/>
      <c r="BD132" s="323"/>
      <c r="BE132" s="323"/>
      <c r="BF132" s="323"/>
      <c r="BG132" s="323"/>
      <c r="BH132" s="323"/>
      <c r="BI132" s="323"/>
      <c r="BJ132" s="323"/>
      <c r="BK132" s="323"/>
      <c r="BL132" s="323"/>
      <c r="BM132" s="323"/>
      <c r="BN132" s="323"/>
      <c r="BO132" s="323"/>
      <c r="BP132" s="323"/>
      <c r="BQ132" s="323"/>
      <c r="BR132" s="323"/>
      <c r="BS132" s="323"/>
      <c r="BT132" s="323"/>
      <c r="BU132" s="323"/>
    </row>
    <row r="133" spans="4:73" hidden="1" outlineLevel="2">
      <c r="D133" t="s">
        <v>457</v>
      </c>
      <c r="F133" s="172">
        <f t="shared" si="21"/>
        <v>0</v>
      </c>
      <c r="G133" s="172">
        <f t="shared" si="22"/>
        <v>0</v>
      </c>
      <c r="H133" s="303">
        <f t="shared" si="23"/>
        <v>0</v>
      </c>
      <c r="I133" s="123">
        <f t="shared" si="25"/>
        <v>0</v>
      </c>
      <c r="J133" s="129">
        <f t="shared" si="24"/>
        <v>0</v>
      </c>
      <c r="L133" s="323"/>
      <c r="M133" s="323"/>
      <c r="N133" s="323"/>
      <c r="O133" s="323"/>
      <c r="P133" s="323"/>
      <c r="Q133" s="323"/>
      <c r="R133" s="323"/>
      <c r="S133" s="323"/>
      <c r="T133" s="323"/>
      <c r="U133" s="323"/>
      <c r="V133" s="323"/>
      <c r="W133" s="323"/>
      <c r="X133" s="323"/>
      <c r="Y133" s="323"/>
      <c r="Z133" s="323"/>
      <c r="AA133" s="323"/>
      <c r="AB133" s="323"/>
      <c r="AC133" s="323"/>
      <c r="AD133" s="323"/>
      <c r="AE133" s="323"/>
      <c r="AG133" s="323"/>
      <c r="AH133" s="323"/>
      <c r="AI133" s="323"/>
      <c r="AJ133" s="323"/>
      <c r="AK133" s="323"/>
      <c r="AL133" s="323"/>
      <c r="AM133" s="323"/>
      <c r="AN133" s="323"/>
      <c r="AO133" s="323"/>
      <c r="AP133" s="323"/>
      <c r="AQ133" s="323"/>
      <c r="AR133" s="323"/>
      <c r="AS133" s="323"/>
      <c r="AT133" s="323"/>
      <c r="AU133" s="323"/>
      <c r="AV133" s="323"/>
      <c r="AW133" s="323"/>
      <c r="AX133" s="323"/>
      <c r="AY133" s="323"/>
      <c r="AZ133" s="323"/>
      <c r="BB133" s="323"/>
      <c r="BC133" s="323"/>
      <c r="BD133" s="323"/>
      <c r="BE133" s="323"/>
      <c r="BF133" s="323"/>
      <c r="BG133" s="323"/>
      <c r="BH133" s="323"/>
      <c r="BI133" s="323"/>
      <c r="BJ133" s="323"/>
      <c r="BK133" s="323"/>
      <c r="BL133" s="323"/>
      <c r="BM133" s="323"/>
      <c r="BN133" s="323"/>
      <c r="BO133" s="323"/>
      <c r="BP133" s="323"/>
      <c r="BQ133" s="323"/>
      <c r="BR133" s="323"/>
      <c r="BS133" s="323"/>
      <c r="BT133" s="323"/>
      <c r="BU133" s="323"/>
    </row>
    <row r="134" spans="4:73" hidden="1" outlineLevel="2">
      <c r="D134" t="s">
        <v>457</v>
      </c>
      <c r="F134" s="172">
        <f t="shared" si="21"/>
        <v>0</v>
      </c>
      <c r="G134" s="172">
        <f t="shared" si="22"/>
        <v>0</v>
      </c>
      <c r="H134" s="303">
        <f t="shared" si="23"/>
        <v>0</v>
      </c>
      <c r="I134" s="123">
        <f>G133</f>
        <v>0</v>
      </c>
      <c r="J134" s="129">
        <f t="shared" si="24"/>
        <v>0</v>
      </c>
      <c r="L134" s="323"/>
      <c r="M134" s="323"/>
      <c r="N134" s="323"/>
      <c r="O134" s="323"/>
      <c r="P134" s="323"/>
      <c r="Q134" s="323"/>
      <c r="R134" s="323"/>
      <c r="S134" s="323"/>
      <c r="T134" s="323"/>
      <c r="U134" s="323"/>
      <c r="V134" s="323"/>
      <c r="W134" s="323"/>
      <c r="X134" s="323"/>
      <c r="Y134" s="323"/>
      <c r="Z134" s="323"/>
      <c r="AA134" s="323"/>
      <c r="AB134" s="323"/>
      <c r="AC134" s="323"/>
      <c r="AD134" s="323"/>
      <c r="AE134" s="323"/>
      <c r="AG134" s="323"/>
      <c r="AH134" s="323"/>
      <c r="AI134" s="323"/>
      <c r="AJ134" s="323"/>
      <c r="AK134" s="323"/>
      <c r="AL134" s="323"/>
      <c r="AM134" s="323"/>
      <c r="AN134" s="323"/>
      <c r="AO134" s="323"/>
      <c r="AP134" s="323"/>
      <c r="AQ134" s="323"/>
      <c r="AR134" s="323"/>
      <c r="AS134" s="323"/>
      <c r="AT134" s="323"/>
      <c r="AU134" s="323"/>
      <c r="AV134" s="323"/>
      <c r="AW134" s="323"/>
      <c r="AX134" s="323"/>
      <c r="AY134" s="323"/>
      <c r="AZ134" s="323"/>
      <c r="BB134" s="323"/>
      <c r="BC134" s="323"/>
      <c r="BD134" s="323"/>
      <c r="BE134" s="323"/>
      <c r="BF134" s="323"/>
      <c r="BG134" s="323"/>
      <c r="BH134" s="323"/>
      <c r="BI134" s="323"/>
      <c r="BJ134" s="323"/>
      <c r="BK134" s="323"/>
      <c r="BL134" s="323"/>
      <c r="BM134" s="323"/>
      <c r="BN134" s="323"/>
      <c r="BO134" s="323"/>
      <c r="BP134" s="323"/>
      <c r="BQ134" s="323"/>
      <c r="BR134" s="323"/>
      <c r="BS134" s="323"/>
      <c r="BT134" s="323"/>
      <c r="BU134" s="323"/>
    </row>
    <row r="135" spans="4:73" hidden="1" outlineLevel="2">
      <c r="D135" t="s">
        <v>457</v>
      </c>
      <c r="F135" s="172">
        <f t="shared" si="21"/>
        <v>0</v>
      </c>
      <c r="G135" s="172">
        <f t="shared" si="22"/>
        <v>0</v>
      </c>
      <c r="H135" s="303">
        <f t="shared" si="23"/>
        <v>0</v>
      </c>
      <c r="I135" s="123">
        <f t="shared" si="25"/>
        <v>0</v>
      </c>
      <c r="J135" s="129">
        <f t="shared" si="24"/>
        <v>0</v>
      </c>
      <c r="L135" s="323"/>
      <c r="M135" s="323"/>
      <c r="N135" s="323"/>
      <c r="O135" s="323"/>
      <c r="P135" s="323"/>
      <c r="Q135" s="323"/>
      <c r="R135" s="323"/>
      <c r="S135" s="323"/>
      <c r="T135" s="323"/>
      <c r="U135" s="323"/>
      <c r="V135" s="323"/>
      <c r="W135" s="323"/>
      <c r="X135" s="323"/>
      <c r="Y135" s="323"/>
      <c r="Z135" s="323"/>
      <c r="AA135" s="323"/>
      <c r="AB135" s="323"/>
      <c r="AC135" s="323"/>
      <c r="AD135" s="323"/>
      <c r="AE135" s="323"/>
      <c r="AG135" s="323"/>
      <c r="AH135" s="323"/>
      <c r="AI135" s="323"/>
      <c r="AJ135" s="323"/>
      <c r="AK135" s="323"/>
      <c r="AL135" s="323"/>
      <c r="AM135" s="323"/>
      <c r="AN135" s="323"/>
      <c r="AO135" s="323"/>
      <c r="AP135" s="323"/>
      <c r="AQ135" s="323"/>
      <c r="AR135" s="323"/>
      <c r="AS135" s="323"/>
      <c r="AT135" s="323"/>
      <c r="AU135" s="323"/>
      <c r="AV135" s="323"/>
      <c r="AW135" s="323"/>
      <c r="AX135" s="323"/>
      <c r="AY135" s="323"/>
      <c r="AZ135" s="323"/>
      <c r="BB135" s="323"/>
      <c r="BC135" s="323"/>
      <c r="BD135" s="323"/>
      <c r="BE135" s="323"/>
      <c r="BF135" s="323"/>
      <c r="BG135" s="323"/>
      <c r="BH135" s="323"/>
      <c r="BI135" s="323"/>
      <c r="BJ135" s="323"/>
      <c r="BK135" s="323"/>
      <c r="BL135" s="323"/>
      <c r="BM135" s="323"/>
      <c r="BN135" s="323"/>
      <c r="BO135" s="323"/>
      <c r="BP135" s="323"/>
      <c r="BQ135" s="323"/>
      <c r="BR135" s="323"/>
      <c r="BS135" s="323"/>
      <c r="BT135" s="323"/>
      <c r="BU135" s="323"/>
    </row>
    <row r="136" spans="4:73" hidden="1" outlineLevel="2">
      <c r="D136" t="s">
        <v>457</v>
      </c>
      <c r="F136" s="172">
        <f t="shared" si="21"/>
        <v>0</v>
      </c>
      <c r="G136" s="172">
        <f t="shared" si="22"/>
        <v>0</v>
      </c>
      <c r="H136" s="303">
        <f t="shared" si="23"/>
        <v>0</v>
      </c>
      <c r="I136" s="123">
        <f t="shared" si="25"/>
        <v>0</v>
      </c>
      <c r="J136" s="129">
        <f t="shared" si="24"/>
        <v>0</v>
      </c>
      <c r="L136" s="323"/>
      <c r="M136" s="323"/>
      <c r="N136" s="323"/>
      <c r="O136" s="323"/>
      <c r="P136" s="323"/>
      <c r="Q136" s="323"/>
      <c r="R136" s="323"/>
      <c r="S136" s="323"/>
      <c r="T136" s="323"/>
      <c r="U136" s="323"/>
      <c r="V136" s="323"/>
      <c r="W136" s="323"/>
      <c r="X136" s="323"/>
      <c r="Y136" s="323"/>
      <c r="Z136" s="323"/>
      <c r="AA136" s="323"/>
      <c r="AB136" s="323"/>
      <c r="AC136" s="323"/>
      <c r="AD136" s="323"/>
      <c r="AE136" s="323"/>
      <c r="AG136" s="323"/>
      <c r="AH136" s="323"/>
      <c r="AI136" s="323"/>
      <c r="AJ136" s="323"/>
      <c r="AK136" s="323"/>
      <c r="AL136" s="323"/>
      <c r="AM136" s="323"/>
      <c r="AN136" s="323"/>
      <c r="AO136" s="323"/>
      <c r="AP136" s="323"/>
      <c r="AQ136" s="323"/>
      <c r="AR136" s="323"/>
      <c r="AS136" s="323"/>
      <c r="AT136" s="323"/>
      <c r="AU136" s="323"/>
      <c r="AV136" s="323"/>
      <c r="AW136" s="323"/>
      <c r="AX136" s="323"/>
      <c r="AY136" s="323"/>
      <c r="AZ136" s="323"/>
      <c r="BB136" s="323"/>
      <c r="BC136" s="323"/>
      <c r="BD136" s="323"/>
      <c r="BE136" s="323"/>
      <c r="BF136" s="323"/>
      <c r="BG136" s="323"/>
      <c r="BH136" s="323"/>
      <c r="BI136" s="323"/>
      <c r="BJ136" s="323"/>
      <c r="BK136" s="323"/>
      <c r="BL136" s="323"/>
      <c r="BM136" s="323"/>
      <c r="BN136" s="323"/>
      <c r="BO136" s="323"/>
      <c r="BP136" s="323"/>
      <c r="BQ136" s="323"/>
      <c r="BR136" s="323"/>
      <c r="BS136" s="323"/>
      <c r="BT136" s="323"/>
      <c r="BU136" s="323"/>
    </row>
    <row r="137" spans="4:73" hidden="1" outlineLevel="2">
      <c r="D137" t="s">
        <v>457</v>
      </c>
      <c r="F137" s="172">
        <f t="shared" si="21"/>
        <v>0</v>
      </c>
      <c r="G137" s="172">
        <f t="shared" si="22"/>
        <v>0</v>
      </c>
      <c r="H137" s="303">
        <f t="shared" si="23"/>
        <v>0</v>
      </c>
      <c r="I137" s="123">
        <f t="shared" si="25"/>
        <v>0</v>
      </c>
      <c r="J137" s="129">
        <f t="shared" si="24"/>
        <v>0</v>
      </c>
      <c r="L137" s="323"/>
      <c r="M137" s="323"/>
      <c r="N137" s="323"/>
      <c r="O137" s="323"/>
      <c r="P137" s="323"/>
      <c r="Q137" s="323"/>
      <c r="R137" s="323"/>
      <c r="S137" s="323"/>
      <c r="T137" s="323"/>
      <c r="U137" s="323"/>
      <c r="V137" s="323"/>
      <c r="W137" s="323"/>
      <c r="X137" s="323"/>
      <c r="Y137" s="323"/>
      <c r="Z137" s="323"/>
      <c r="AA137" s="323"/>
      <c r="AB137" s="323"/>
      <c r="AC137" s="323"/>
      <c r="AD137" s="323"/>
      <c r="AE137" s="323"/>
      <c r="AG137" s="323"/>
      <c r="AH137" s="323"/>
      <c r="AI137" s="323"/>
      <c r="AJ137" s="323"/>
      <c r="AK137" s="323"/>
      <c r="AL137" s="323"/>
      <c r="AM137" s="323"/>
      <c r="AN137" s="323"/>
      <c r="AO137" s="323"/>
      <c r="AP137" s="323"/>
      <c r="AQ137" s="323"/>
      <c r="AR137" s="323"/>
      <c r="AS137" s="323"/>
      <c r="AT137" s="323"/>
      <c r="AU137" s="323"/>
      <c r="AV137" s="323"/>
      <c r="AW137" s="323"/>
      <c r="AX137" s="323"/>
      <c r="AY137" s="323"/>
      <c r="AZ137" s="323"/>
      <c r="BB137" s="323"/>
      <c r="BC137" s="323"/>
      <c r="BD137" s="323"/>
      <c r="BE137" s="323"/>
      <c r="BF137" s="323"/>
      <c r="BG137" s="323"/>
      <c r="BH137" s="323"/>
      <c r="BI137" s="323"/>
      <c r="BJ137" s="323"/>
      <c r="BK137" s="323"/>
      <c r="BL137" s="323"/>
      <c r="BM137" s="323"/>
      <c r="BN137" s="323"/>
      <c r="BO137" s="323"/>
      <c r="BP137" s="323"/>
      <c r="BQ137" s="323"/>
      <c r="BR137" s="323"/>
      <c r="BS137" s="323"/>
      <c r="BT137" s="323"/>
      <c r="BU137" s="323"/>
    </row>
    <row r="138" spans="4:73" hidden="1" outlineLevel="2">
      <c r="D138" t="s">
        <v>457</v>
      </c>
      <c r="F138" s="172">
        <f t="shared" si="21"/>
        <v>0</v>
      </c>
      <c r="G138" s="172">
        <f t="shared" si="22"/>
        <v>0</v>
      </c>
      <c r="H138" s="303">
        <f t="shared" si="23"/>
        <v>0</v>
      </c>
      <c r="I138" s="123">
        <f t="shared" si="25"/>
        <v>0</v>
      </c>
      <c r="J138" s="129">
        <f t="shared" si="24"/>
        <v>0</v>
      </c>
      <c r="L138" s="323"/>
      <c r="M138" s="323"/>
      <c r="N138" s="323"/>
      <c r="O138" s="323"/>
      <c r="P138" s="323"/>
      <c r="Q138" s="323"/>
      <c r="R138" s="323"/>
      <c r="S138" s="323"/>
      <c r="T138" s="323"/>
      <c r="U138" s="323"/>
      <c r="V138" s="323"/>
      <c r="W138" s="323"/>
      <c r="X138" s="323"/>
      <c r="Y138" s="323"/>
      <c r="Z138" s="323"/>
      <c r="AA138" s="323"/>
      <c r="AB138" s="323"/>
      <c r="AC138" s="323"/>
      <c r="AD138" s="323"/>
      <c r="AE138" s="323"/>
      <c r="AG138" s="323"/>
      <c r="AH138" s="323"/>
      <c r="AI138" s="323"/>
      <c r="AJ138" s="323"/>
      <c r="AK138" s="323"/>
      <c r="AL138" s="323"/>
      <c r="AM138" s="323"/>
      <c r="AN138" s="323"/>
      <c r="AO138" s="323"/>
      <c r="AP138" s="323"/>
      <c r="AQ138" s="323"/>
      <c r="AR138" s="323"/>
      <c r="AS138" s="323"/>
      <c r="AT138" s="323"/>
      <c r="AU138" s="323"/>
      <c r="AV138" s="323"/>
      <c r="AW138" s="323"/>
      <c r="AX138" s="323"/>
      <c r="AY138" s="323"/>
      <c r="AZ138" s="323"/>
      <c r="BB138" s="323"/>
      <c r="BC138" s="323"/>
      <c r="BD138" s="323"/>
      <c r="BE138" s="323"/>
      <c r="BF138" s="323"/>
      <c r="BG138" s="323"/>
      <c r="BH138" s="323"/>
      <c r="BI138" s="323"/>
      <c r="BJ138" s="323"/>
      <c r="BK138" s="323"/>
      <c r="BL138" s="323"/>
      <c r="BM138" s="323"/>
      <c r="BN138" s="323"/>
      <c r="BO138" s="323"/>
      <c r="BP138" s="323"/>
      <c r="BQ138" s="323"/>
      <c r="BR138" s="323"/>
      <c r="BS138" s="323"/>
      <c r="BT138" s="323"/>
      <c r="BU138" s="323"/>
    </row>
    <row r="139" spans="4:73" hidden="1" outlineLevel="2">
      <c r="D139" t="s">
        <v>457</v>
      </c>
      <c r="F139" s="172">
        <f t="shared" si="21"/>
        <v>0</v>
      </c>
      <c r="G139" s="172">
        <f t="shared" si="22"/>
        <v>0</v>
      </c>
      <c r="H139" s="303">
        <f t="shared" si="23"/>
        <v>0</v>
      </c>
      <c r="I139" s="123">
        <f t="shared" si="25"/>
        <v>0</v>
      </c>
      <c r="J139" s="129">
        <f t="shared" si="24"/>
        <v>0</v>
      </c>
      <c r="L139" s="323"/>
      <c r="M139" s="323"/>
      <c r="N139" s="323"/>
      <c r="O139" s="323"/>
      <c r="P139" s="323"/>
      <c r="Q139" s="323"/>
      <c r="R139" s="323"/>
      <c r="S139" s="323"/>
      <c r="T139" s="323"/>
      <c r="U139" s="323"/>
      <c r="V139" s="323"/>
      <c r="W139" s="323"/>
      <c r="X139" s="323"/>
      <c r="Y139" s="323"/>
      <c r="Z139" s="323"/>
      <c r="AA139" s="323"/>
      <c r="AB139" s="323"/>
      <c r="AC139" s="323"/>
      <c r="AD139" s="323"/>
      <c r="AE139" s="323"/>
      <c r="AG139" s="323"/>
      <c r="AH139" s="323"/>
      <c r="AI139" s="323"/>
      <c r="AJ139" s="323"/>
      <c r="AK139" s="323"/>
      <c r="AL139" s="323"/>
      <c r="AM139" s="323"/>
      <c r="AN139" s="323"/>
      <c r="AO139" s="323"/>
      <c r="AP139" s="323"/>
      <c r="AQ139" s="323"/>
      <c r="AR139" s="323"/>
      <c r="AS139" s="323"/>
      <c r="AT139" s="323"/>
      <c r="AU139" s="323"/>
      <c r="AV139" s="323"/>
      <c r="AW139" s="323"/>
      <c r="AX139" s="323"/>
      <c r="AY139" s="323"/>
      <c r="AZ139" s="323"/>
      <c r="BB139" s="323"/>
      <c r="BC139" s="323"/>
      <c r="BD139" s="323"/>
      <c r="BE139" s="323"/>
      <c r="BF139" s="323"/>
      <c r="BG139" s="323"/>
      <c r="BH139" s="323"/>
      <c r="BI139" s="323"/>
      <c r="BJ139" s="323"/>
      <c r="BK139" s="323"/>
      <c r="BL139" s="323"/>
      <c r="BM139" s="323"/>
      <c r="BN139" s="323"/>
      <c r="BO139" s="323"/>
      <c r="BP139" s="323"/>
      <c r="BQ139" s="323"/>
      <c r="BR139" s="323"/>
      <c r="BS139" s="323"/>
      <c r="BT139" s="323"/>
      <c r="BU139" s="323"/>
    </row>
    <row r="140" spans="4:73" hidden="1" outlineLevel="2">
      <c r="D140" t="s">
        <v>457</v>
      </c>
      <c r="F140" s="172">
        <f t="shared" si="21"/>
        <v>0</v>
      </c>
      <c r="G140" s="172">
        <f t="shared" si="22"/>
        <v>0</v>
      </c>
      <c r="H140" s="303">
        <f t="shared" si="23"/>
        <v>0</v>
      </c>
      <c r="I140" s="123">
        <f t="shared" si="25"/>
        <v>0</v>
      </c>
      <c r="J140" s="129">
        <f t="shared" si="24"/>
        <v>0</v>
      </c>
      <c r="L140" s="323"/>
      <c r="M140" s="323"/>
      <c r="N140" s="323"/>
      <c r="O140" s="323"/>
      <c r="P140" s="323"/>
      <c r="Q140" s="323"/>
      <c r="R140" s="323"/>
      <c r="S140" s="323"/>
      <c r="T140" s="323"/>
      <c r="U140" s="323"/>
      <c r="V140" s="323"/>
      <c r="W140" s="323"/>
      <c r="X140" s="323"/>
      <c r="Y140" s="323"/>
      <c r="Z140" s="323"/>
      <c r="AA140" s="323"/>
      <c r="AB140" s="323"/>
      <c r="AC140" s="323"/>
      <c r="AD140" s="323"/>
      <c r="AE140" s="323"/>
      <c r="AG140" s="323"/>
      <c r="AH140" s="323"/>
      <c r="AI140" s="323"/>
      <c r="AJ140" s="323"/>
      <c r="AK140" s="323"/>
      <c r="AL140" s="323"/>
      <c r="AM140" s="323"/>
      <c r="AN140" s="323"/>
      <c r="AO140" s="323"/>
      <c r="AP140" s="323"/>
      <c r="AQ140" s="323"/>
      <c r="AR140" s="323"/>
      <c r="AS140" s="323"/>
      <c r="AT140" s="323"/>
      <c r="AU140" s="323"/>
      <c r="AV140" s="323"/>
      <c r="AW140" s="323"/>
      <c r="AX140" s="323"/>
      <c r="AY140" s="323"/>
      <c r="AZ140" s="323"/>
      <c r="BB140" s="323"/>
      <c r="BC140" s="323"/>
      <c r="BD140" s="323"/>
      <c r="BE140" s="323"/>
      <c r="BF140" s="323"/>
      <c r="BG140" s="323"/>
      <c r="BH140" s="323"/>
      <c r="BI140" s="323"/>
      <c r="BJ140" s="323"/>
      <c r="BK140" s="323"/>
      <c r="BL140" s="323"/>
      <c r="BM140" s="323"/>
      <c r="BN140" s="323"/>
      <c r="BO140" s="323"/>
      <c r="BP140" s="323"/>
      <c r="BQ140" s="323"/>
      <c r="BR140" s="323"/>
      <c r="BS140" s="323"/>
      <c r="BT140" s="323"/>
      <c r="BU140" s="323"/>
    </row>
    <row r="141" spans="4:73" hidden="1" outlineLevel="2">
      <c r="D141" t="s">
        <v>457</v>
      </c>
      <c r="F141" s="172">
        <f t="shared" si="21"/>
        <v>0</v>
      </c>
      <c r="G141" s="172">
        <f t="shared" si="22"/>
        <v>0</v>
      </c>
      <c r="H141" s="303">
        <f t="shared" si="23"/>
        <v>0</v>
      </c>
      <c r="I141" s="123">
        <f t="shared" si="25"/>
        <v>0</v>
      </c>
      <c r="J141" s="129">
        <f t="shared" si="24"/>
        <v>0</v>
      </c>
      <c r="L141" s="323"/>
      <c r="M141" s="323"/>
      <c r="N141" s="323"/>
      <c r="O141" s="323"/>
      <c r="P141" s="323"/>
      <c r="Q141" s="323"/>
      <c r="R141" s="323"/>
      <c r="S141" s="323"/>
      <c r="T141" s="323"/>
      <c r="U141" s="323"/>
      <c r="V141" s="323"/>
      <c r="W141" s="323"/>
      <c r="X141" s="323"/>
      <c r="Y141" s="323"/>
      <c r="Z141" s="323"/>
      <c r="AA141" s="323"/>
      <c r="AB141" s="323"/>
      <c r="AC141" s="323"/>
      <c r="AD141" s="323"/>
      <c r="AE141" s="323"/>
      <c r="AG141" s="323"/>
      <c r="AH141" s="323"/>
      <c r="AI141" s="323"/>
      <c r="AJ141" s="323"/>
      <c r="AK141" s="323"/>
      <c r="AL141" s="323"/>
      <c r="AM141" s="323"/>
      <c r="AN141" s="323"/>
      <c r="AO141" s="323"/>
      <c r="AP141" s="323"/>
      <c r="AQ141" s="323"/>
      <c r="AR141" s="323"/>
      <c r="AS141" s="323"/>
      <c r="AT141" s="323"/>
      <c r="AU141" s="323"/>
      <c r="AV141" s="323"/>
      <c r="AW141" s="323"/>
      <c r="AX141" s="323"/>
      <c r="AY141" s="323"/>
      <c r="AZ141" s="323"/>
      <c r="BB141" s="323"/>
      <c r="BC141" s="323"/>
      <c r="BD141" s="323"/>
      <c r="BE141" s="323"/>
      <c r="BF141" s="323"/>
      <c r="BG141" s="323"/>
      <c r="BH141" s="323"/>
      <c r="BI141" s="323"/>
      <c r="BJ141" s="323"/>
      <c r="BK141" s="323"/>
      <c r="BL141" s="323"/>
      <c r="BM141" s="323"/>
      <c r="BN141" s="323"/>
      <c r="BO141" s="323"/>
      <c r="BP141" s="323"/>
      <c r="BQ141" s="323"/>
      <c r="BR141" s="323"/>
      <c r="BS141" s="323"/>
      <c r="BT141" s="323"/>
      <c r="BU141" s="323"/>
    </row>
    <row r="142" spans="4:73" hidden="1" outlineLevel="2">
      <c r="D142" t="s">
        <v>457</v>
      </c>
      <c r="F142" s="172">
        <f t="shared" si="21"/>
        <v>0</v>
      </c>
      <c r="G142" s="172">
        <f t="shared" si="22"/>
        <v>0</v>
      </c>
      <c r="H142" s="303">
        <f t="shared" si="23"/>
        <v>0</v>
      </c>
      <c r="I142" s="123">
        <f t="shared" si="25"/>
        <v>0</v>
      </c>
      <c r="J142" s="129">
        <f t="shared" si="24"/>
        <v>0</v>
      </c>
      <c r="L142" s="323"/>
      <c r="M142" s="323"/>
      <c r="N142" s="323"/>
      <c r="O142" s="323"/>
      <c r="P142" s="323"/>
      <c r="Q142" s="323"/>
      <c r="R142" s="323"/>
      <c r="S142" s="323"/>
      <c r="T142" s="323"/>
      <c r="U142" s="323"/>
      <c r="V142" s="323"/>
      <c r="W142" s="323"/>
      <c r="X142" s="323"/>
      <c r="Y142" s="323"/>
      <c r="Z142" s="323"/>
      <c r="AA142" s="323"/>
      <c r="AB142" s="323"/>
      <c r="AC142" s="323"/>
      <c r="AD142" s="323"/>
      <c r="AE142" s="323"/>
      <c r="AG142" s="323"/>
      <c r="AH142" s="323"/>
      <c r="AI142" s="323"/>
      <c r="AJ142" s="323"/>
      <c r="AK142" s="323"/>
      <c r="AL142" s="323"/>
      <c r="AM142" s="323"/>
      <c r="AN142" s="323"/>
      <c r="AO142" s="323"/>
      <c r="AP142" s="323"/>
      <c r="AQ142" s="323"/>
      <c r="AR142" s="323"/>
      <c r="AS142" s="323"/>
      <c r="AT142" s="323"/>
      <c r="AU142" s="323"/>
      <c r="AV142" s="323"/>
      <c r="AW142" s="323"/>
      <c r="AX142" s="323"/>
      <c r="AY142" s="323"/>
      <c r="AZ142" s="323"/>
      <c r="BB142" s="323"/>
      <c r="BC142" s="323"/>
      <c r="BD142" s="323"/>
      <c r="BE142" s="323"/>
      <c r="BF142" s="323"/>
      <c r="BG142" s="323"/>
      <c r="BH142" s="323"/>
      <c r="BI142" s="323"/>
      <c r="BJ142" s="323"/>
      <c r="BK142" s="323"/>
      <c r="BL142" s="323"/>
      <c r="BM142" s="323"/>
      <c r="BN142" s="323"/>
      <c r="BO142" s="323"/>
      <c r="BP142" s="323"/>
      <c r="BQ142" s="323"/>
      <c r="BR142" s="323"/>
      <c r="BS142" s="323"/>
      <c r="BT142" s="323"/>
      <c r="BU142" s="323"/>
    </row>
    <row r="143" spans="4:73" hidden="1" outlineLevel="2">
      <c r="D143" t="s">
        <v>457</v>
      </c>
      <c r="F143" s="172">
        <f t="shared" si="21"/>
        <v>0</v>
      </c>
      <c r="G143" s="172">
        <f t="shared" si="22"/>
        <v>0</v>
      </c>
      <c r="H143" s="303">
        <f t="shared" si="23"/>
        <v>0</v>
      </c>
      <c r="I143" s="123">
        <f t="shared" si="25"/>
        <v>0</v>
      </c>
      <c r="J143" s="129">
        <f t="shared" si="24"/>
        <v>0</v>
      </c>
      <c r="L143" s="323"/>
      <c r="M143" s="323"/>
      <c r="N143" s="323"/>
      <c r="O143" s="323"/>
      <c r="P143" s="323"/>
      <c r="Q143" s="323"/>
      <c r="R143" s="323"/>
      <c r="S143" s="323"/>
      <c r="T143" s="323"/>
      <c r="U143" s="323"/>
      <c r="V143" s="323"/>
      <c r="W143" s="323"/>
      <c r="X143" s="323"/>
      <c r="Y143" s="323"/>
      <c r="Z143" s="323"/>
      <c r="AA143" s="323"/>
      <c r="AB143" s="323"/>
      <c r="AC143" s="323"/>
      <c r="AD143" s="323"/>
      <c r="AE143" s="323"/>
      <c r="AG143" s="323"/>
      <c r="AH143" s="323"/>
      <c r="AI143" s="323"/>
      <c r="AJ143" s="323"/>
      <c r="AK143" s="323"/>
      <c r="AL143" s="323"/>
      <c r="AM143" s="323"/>
      <c r="AN143" s="323"/>
      <c r="AO143" s="323"/>
      <c r="AP143" s="323"/>
      <c r="AQ143" s="323"/>
      <c r="AR143" s="323"/>
      <c r="AS143" s="323"/>
      <c r="AT143" s="323"/>
      <c r="AU143" s="323"/>
      <c r="AV143" s="323"/>
      <c r="AW143" s="323"/>
      <c r="AX143" s="323"/>
      <c r="AY143" s="323"/>
      <c r="AZ143" s="323"/>
      <c r="BB143" s="323"/>
      <c r="BC143" s="323"/>
      <c r="BD143" s="323"/>
      <c r="BE143" s="323"/>
      <c r="BF143" s="323"/>
      <c r="BG143" s="323"/>
      <c r="BH143" s="323"/>
      <c r="BI143" s="323"/>
      <c r="BJ143" s="323"/>
      <c r="BK143" s="323"/>
      <c r="BL143" s="323"/>
      <c r="BM143" s="323"/>
      <c r="BN143" s="323"/>
      <c r="BO143" s="323"/>
      <c r="BP143" s="323"/>
      <c r="BQ143" s="323"/>
      <c r="BR143" s="323"/>
      <c r="BS143" s="323"/>
      <c r="BT143" s="323"/>
      <c r="BU143" s="323"/>
    </row>
    <row r="144" spans="4:73" hidden="1" outlineLevel="2">
      <c r="D144" t="s">
        <v>457</v>
      </c>
      <c r="F144" s="172">
        <f t="shared" si="21"/>
        <v>0</v>
      </c>
      <c r="G144" s="172">
        <f t="shared" si="22"/>
        <v>0</v>
      </c>
      <c r="H144" s="303">
        <f t="shared" si="23"/>
        <v>0</v>
      </c>
      <c r="I144" s="123">
        <f t="shared" si="25"/>
        <v>0</v>
      </c>
      <c r="J144" s="129">
        <f t="shared" si="24"/>
        <v>0</v>
      </c>
      <c r="L144" s="323"/>
      <c r="M144" s="323"/>
      <c r="N144" s="323"/>
      <c r="O144" s="323"/>
      <c r="P144" s="323"/>
      <c r="Q144" s="323"/>
      <c r="R144" s="323"/>
      <c r="S144" s="323"/>
      <c r="T144" s="323"/>
      <c r="U144" s="323"/>
      <c r="V144" s="323"/>
      <c r="W144" s="323"/>
      <c r="X144" s="323"/>
      <c r="Y144" s="323"/>
      <c r="Z144" s="323"/>
      <c r="AA144" s="323"/>
      <c r="AB144" s="323"/>
      <c r="AC144" s="323"/>
      <c r="AD144" s="323"/>
      <c r="AE144" s="323"/>
      <c r="AG144" s="323"/>
      <c r="AH144" s="323"/>
      <c r="AI144" s="323"/>
      <c r="AJ144" s="323"/>
      <c r="AK144" s="323"/>
      <c r="AL144" s="323"/>
      <c r="AM144" s="323"/>
      <c r="AN144" s="323"/>
      <c r="AO144" s="323"/>
      <c r="AP144" s="323"/>
      <c r="AQ144" s="323"/>
      <c r="AR144" s="323"/>
      <c r="AS144" s="323"/>
      <c r="AT144" s="323"/>
      <c r="AU144" s="323"/>
      <c r="AV144" s="323"/>
      <c r="AW144" s="323"/>
      <c r="AX144" s="323"/>
      <c r="AY144" s="323"/>
      <c r="AZ144" s="323"/>
      <c r="BB144" s="323"/>
      <c r="BC144" s="323"/>
      <c r="BD144" s="323"/>
      <c r="BE144" s="323"/>
      <c r="BF144" s="323"/>
      <c r="BG144" s="323"/>
      <c r="BH144" s="323"/>
      <c r="BI144" s="323"/>
      <c r="BJ144" s="323"/>
      <c r="BK144" s="323"/>
      <c r="BL144" s="323"/>
      <c r="BM144" s="323"/>
      <c r="BN144" s="323"/>
      <c r="BO144" s="323"/>
      <c r="BP144" s="323"/>
      <c r="BQ144" s="323"/>
      <c r="BR144" s="323"/>
      <c r="BS144" s="323"/>
      <c r="BT144" s="323"/>
      <c r="BU144" s="323"/>
    </row>
    <row r="145" spans="4:73" hidden="1" outlineLevel="2">
      <c r="D145" t="s">
        <v>457</v>
      </c>
      <c r="F145" s="172">
        <f t="shared" si="21"/>
        <v>0</v>
      </c>
      <c r="G145" s="172">
        <f t="shared" si="22"/>
        <v>0</v>
      </c>
      <c r="H145" s="303">
        <f t="shared" si="23"/>
        <v>0</v>
      </c>
      <c r="I145" s="123">
        <f t="shared" si="25"/>
        <v>0</v>
      </c>
      <c r="J145" s="129">
        <f t="shared" si="24"/>
        <v>0</v>
      </c>
      <c r="L145" s="323"/>
      <c r="M145" s="323"/>
      <c r="N145" s="323"/>
      <c r="O145" s="323"/>
      <c r="P145" s="323"/>
      <c r="Q145" s="323"/>
      <c r="R145" s="323"/>
      <c r="S145" s="323"/>
      <c r="T145" s="323"/>
      <c r="U145" s="323"/>
      <c r="V145" s="323"/>
      <c r="W145" s="323"/>
      <c r="X145" s="323"/>
      <c r="Y145" s="323"/>
      <c r="Z145" s="323"/>
      <c r="AA145" s="323"/>
      <c r="AB145" s="323"/>
      <c r="AC145" s="323"/>
      <c r="AD145" s="323"/>
      <c r="AE145" s="323"/>
      <c r="AG145" s="323"/>
      <c r="AH145" s="323"/>
      <c r="AI145" s="323"/>
      <c r="AJ145" s="323"/>
      <c r="AK145" s="323"/>
      <c r="AL145" s="323"/>
      <c r="AM145" s="323"/>
      <c r="AN145" s="323"/>
      <c r="AO145" s="323"/>
      <c r="AP145" s="323"/>
      <c r="AQ145" s="323"/>
      <c r="AR145" s="323"/>
      <c r="AS145" s="323"/>
      <c r="AT145" s="323"/>
      <c r="AU145" s="323"/>
      <c r="AV145" s="323"/>
      <c r="AW145" s="323"/>
      <c r="AX145" s="323"/>
      <c r="AY145" s="323"/>
      <c r="AZ145" s="323"/>
      <c r="BB145" s="323"/>
      <c r="BC145" s="323"/>
      <c r="BD145" s="323"/>
      <c r="BE145" s="323"/>
      <c r="BF145" s="323"/>
      <c r="BG145" s="323"/>
      <c r="BH145" s="323"/>
      <c r="BI145" s="323"/>
      <c r="BJ145" s="323"/>
      <c r="BK145" s="323"/>
      <c r="BL145" s="323"/>
      <c r="BM145" s="323"/>
      <c r="BN145" s="323"/>
      <c r="BO145" s="323"/>
      <c r="BP145" s="323"/>
      <c r="BQ145" s="323"/>
      <c r="BR145" s="323"/>
      <c r="BS145" s="323"/>
      <c r="BT145" s="323"/>
      <c r="BU145" s="323"/>
    </row>
    <row r="146" spans="4:73" hidden="1" outlineLevel="2">
      <c r="D146" t="s">
        <v>457</v>
      </c>
      <c r="F146" s="172">
        <f t="shared" si="21"/>
        <v>0</v>
      </c>
      <c r="G146" s="172">
        <f t="shared" si="22"/>
        <v>0</v>
      </c>
      <c r="H146" s="303">
        <f t="shared" si="23"/>
        <v>0</v>
      </c>
      <c r="I146" s="123">
        <f t="shared" si="25"/>
        <v>0</v>
      </c>
      <c r="J146" s="129">
        <f t="shared" si="24"/>
        <v>0</v>
      </c>
      <c r="L146" s="323"/>
      <c r="M146" s="323"/>
      <c r="N146" s="323"/>
      <c r="O146" s="323"/>
      <c r="P146" s="323"/>
      <c r="Q146" s="323"/>
      <c r="R146" s="323"/>
      <c r="S146" s="323"/>
      <c r="T146" s="323"/>
      <c r="U146" s="323"/>
      <c r="V146" s="323"/>
      <c r="W146" s="323"/>
      <c r="X146" s="323"/>
      <c r="Y146" s="323"/>
      <c r="Z146" s="323"/>
      <c r="AA146" s="323"/>
      <c r="AB146" s="323"/>
      <c r="AC146" s="323"/>
      <c r="AD146" s="323"/>
      <c r="AE146" s="323"/>
      <c r="AG146" s="323"/>
      <c r="AH146" s="323"/>
      <c r="AI146" s="323"/>
      <c r="AJ146" s="323"/>
      <c r="AK146" s="323"/>
      <c r="AL146" s="323"/>
      <c r="AM146" s="323"/>
      <c r="AN146" s="323"/>
      <c r="AO146" s="323"/>
      <c r="AP146" s="323"/>
      <c r="AQ146" s="323"/>
      <c r="AR146" s="323"/>
      <c r="AS146" s="323"/>
      <c r="AT146" s="323"/>
      <c r="AU146" s="323"/>
      <c r="AV146" s="323"/>
      <c r="AW146" s="323"/>
      <c r="AX146" s="323"/>
      <c r="AY146" s="323"/>
      <c r="AZ146" s="323"/>
      <c r="BB146" s="323"/>
      <c r="BC146" s="323"/>
      <c r="BD146" s="323"/>
      <c r="BE146" s="323"/>
      <c r="BF146" s="323"/>
      <c r="BG146" s="323"/>
      <c r="BH146" s="323"/>
      <c r="BI146" s="323"/>
      <c r="BJ146" s="323"/>
      <c r="BK146" s="323"/>
      <c r="BL146" s="323"/>
      <c r="BM146" s="323"/>
      <c r="BN146" s="323"/>
      <c r="BO146" s="323"/>
      <c r="BP146" s="323"/>
      <c r="BQ146" s="323"/>
      <c r="BR146" s="323"/>
      <c r="BS146" s="323"/>
      <c r="BT146" s="323"/>
      <c r="BU146" s="323"/>
    </row>
    <row r="147" spans="4:73" hidden="1" outlineLevel="2">
      <c r="D147" t="s">
        <v>457</v>
      </c>
      <c r="F147" s="172">
        <f t="shared" si="21"/>
        <v>0</v>
      </c>
      <c r="G147" s="172">
        <f t="shared" si="22"/>
        <v>0</v>
      </c>
      <c r="H147" s="303">
        <f t="shared" si="23"/>
        <v>0</v>
      </c>
      <c r="I147" s="123">
        <f t="shared" si="25"/>
        <v>0</v>
      </c>
      <c r="J147" s="129">
        <f t="shared" si="24"/>
        <v>0</v>
      </c>
      <c r="L147" s="323"/>
      <c r="M147" s="323"/>
      <c r="N147" s="323"/>
      <c r="O147" s="323"/>
      <c r="P147" s="323"/>
      <c r="Q147" s="323"/>
      <c r="R147" s="323"/>
      <c r="S147" s="323"/>
      <c r="T147" s="323"/>
      <c r="U147" s="323"/>
      <c r="V147" s="323"/>
      <c r="W147" s="323"/>
      <c r="X147" s="323"/>
      <c r="Y147" s="323"/>
      <c r="Z147" s="323"/>
      <c r="AA147" s="323"/>
      <c r="AB147" s="323"/>
      <c r="AC147" s="323"/>
      <c r="AD147" s="323"/>
      <c r="AE147" s="323"/>
      <c r="AG147" s="323"/>
      <c r="AH147" s="323"/>
      <c r="AI147" s="323"/>
      <c r="AJ147" s="323"/>
      <c r="AK147" s="323"/>
      <c r="AL147" s="323"/>
      <c r="AM147" s="323"/>
      <c r="AN147" s="323"/>
      <c r="AO147" s="323"/>
      <c r="AP147" s="323"/>
      <c r="AQ147" s="323"/>
      <c r="AR147" s="323"/>
      <c r="AS147" s="323"/>
      <c r="AT147" s="323"/>
      <c r="AU147" s="323"/>
      <c r="AV147" s="323"/>
      <c r="AW147" s="323"/>
      <c r="AX147" s="323"/>
      <c r="AY147" s="323"/>
      <c r="AZ147" s="323"/>
      <c r="BB147" s="323"/>
      <c r="BC147" s="323"/>
      <c r="BD147" s="323"/>
      <c r="BE147" s="323"/>
      <c r="BF147" s="323"/>
      <c r="BG147" s="323"/>
      <c r="BH147" s="323"/>
      <c r="BI147" s="323"/>
      <c r="BJ147" s="323"/>
      <c r="BK147" s="323"/>
      <c r="BL147" s="323"/>
      <c r="BM147" s="323"/>
      <c r="BN147" s="323"/>
      <c r="BO147" s="323"/>
      <c r="BP147" s="323"/>
      <c r="BQ147" s="323"/>
      <c r="BR147" s="323"/>
      <c r="BS147" s="323"/>
      <c r="BT147" s="323"/>
      <c r="BU147" s="323"/>
    </row>
    <row r="148" spans="4:73" hidden="1" outlineLevel="2">
      <c r="D148" t="s">
        <v>457</v>
      </c>
      <c r="F148" s="172">
        <f t="shared" si="21"/>
        <v>0</v>
      </c>
      <c r="G148" s="172">
        <f t="shared" si="22"/>
        <v>0</v>
      </c>
      <c r="H148" s="303">
        <f t="shared" si="23"/>
        <v>0</v>
      </c>
      <c r="I148" s="123">
        <f t="shared" si="25"/>
        <v>0</v>
      </c>
      <c r="J148" s="129">
        <f t="shared" si="24"/>
        <v>0</v>
      </c>
      <c r="L148" s="323"/>
      <c r="M148" s="323"/>
      <c r="N148" s="323"/>
      <c r="O148" s="323"/>
      <c r="P148" s="323"/>
      <c r="Q148" s="323"/>
      <c r="R148" s="323"/>
      <c r="S148" s="323"/>
      <c r="T148" s="323"/>
      <c r="U148" s="323"/>
      <c r="V148" s="323"/>
      <c r="W148" s="323"/>
      <c r="X148" s="323"/>
      <c r="Y148" s="323"/>
      <c r="Z148" s="323"/>
      <c r="AA148" s="323"/>
      <c r="AB148" s="323"/>
      <c r="AC148" s="323"/>
      <c r="AD148" s="323"/>
      <c r="AE148" s="323"/>
      <c r="AG148" s="323"/>
      <c r="AH148" s="323"/>
      <c r="AI148" s="323"/>
      <c r="AJ148" s="323"/>
      <c r="AK148" s="323"/>
      <c r="AL148" s="323"/>
      <c r="AM148" s="323"/>
      <c r="AN148" s="323"/>
      <c r="AO148" s="323"/>
      <c r="AP148" s="323"/>
      <c r="AQ148" s="323"/>
      <c r="AR148" s="323"/>
      <c r="AS148" s="323"/>
      <c r="AT148" s="323"/>
      <c r="AU148" s="323"/>
      <c r="AV148" s="323"/>
      <c r="AW148" s="323"/>
      <c r="AX148" s="323"/>
      <c r="AY148" s="323"/>
      <c r="AZ148" s="323"/>
      <c r="BB148" s="323"/>
      <c r="BC148" s="323"/>
      <c r="BD148" s="323"/>
      <c r="BE148" s="323"/>
      <c r="BF148" s="323"/>
      <c r="BG148" s="323"/>
      <c r="BH148" s="323"/>
      <c r="BI148" s="323"/>
      <c r="BJ148" s="323"/>
      <c r="BK148" s="323"/>
      <c r="BL148" s="323"/>
      <c r="BM148" s="323"/>
      <c r="BN148" s="323"/>
      <c r="BO148" s="323"/>
      <c r="BP148" s="323"/>
      <c r="BQ148" s="323"/>
      <c r="BR148" s="323"/>
      <c r="BS148" s="323"/>
      <c r="BT148" s="323"/>
      <c r="BU148" s="323"/>
    </row>
    <row r="149" spans="4:73" hidden="1" outlineLevel="2">
      <c r="D149" t="s">
        <v>457</v>
      </c>
      <c r="F149" s="172">
        <f t="shared" si="21"/>
        <v>0</v>
      </c>
      <c r="G149" s="172">
        <f t="shared" si="22"/>
        <v>0</v>
      </c>
      <c r="H149" s="303">
        <f t="shared" si="23"/>
        <v>0</v>
      </c>
      <c r="I149" s="123">
        <f t="shared" si="25"/>
        <v>0</v>
      </c>
      <c r="J149" s="129">
        <f t="shared" si="24"/>
        <v>0</v>
      </c>
      <c r="L149" s="323"/>
      <c r="M149" s="323"/>
      <c r="N149" s="323"/>
      <c r="O149" s="323"/>
      <c r="P149" s="323"/>
      <c r="Q149" s="323"/>
      <c r="R149" s="323"/>
      <c r="S149" s="323"/>
      <c r="T149" s="323"/>
      <c r="U149" s="323"/>
      <c r="V149" s="323"/>
      <c r="W149" s="323"/>
      <c r="X149" s="323"/>
      <c r="Y149" s="323"/>
      <c r="Z149" s="323"/>
      <c r="AA149" s="323"/>
      <c r="AB149" s="323"/>
      <c r="AC149" s="323"/>
      <c r="AD149" s="323"/>
      <c r="AE149" s="323"/>
      <c r="AG149" s="323"/>
      <c r="AH149" s="323"/>
      <c r="AI149" s="323"/>
      <c r="AJ149" s="323"/>
      <c r="AK149" s="323"/>
      <c r="AL149" s="323"/>
      <c r="AM149" s="323"/>
      <c r="AN149" s="323"/>
      <c r="AO149" s="323"/>
      <c r="AP149" s="323"/>
      <c r="AQ149" s="323"/>
      <c r="AR149" s="323"/>
      <c r="AS149" s="323"/>
      <c r="AT149" s="323"/>
      <c r="AU149" s="323"/>
      <c r="AV149" s="323"/>
      <c r="AW149" s="323"/>
      <c r="AX149" s="323"/>
      <c r="AY149" s="323"/>
      <c r="AZ149" s="323"/>
      <c r="BB149" s="323"/>
      <c r="BC149" s="323"/>
      <c r="BD149" s="323"/>
      <c r="BE149" s="323"/>
      <c r="BF149" s="323"/>
      <c r="BG149" s="323"/>
      <c r="BH149" s="323"/>
      <c r="BI149" s="323"/>
      <c r="BJ149" s="323"/>
      <c r="BK149" s="323"/>
      <c r="BL149" s="323"/>
      <c r="BM149" s="323"/>
      <c r="BN149" s="323"/>
      <c r="BO149" s="323"/>
      <c r="BP149" s="323"/>
      <c r="BQ149" s="323"/>
      <c r="BR149" s="323"/>
      <c r="BS149" s="323"/>
      <c r="BT149" s="323"/>
      <c r="BU149" s="323"/>
    </row>
    <row r="150" spans="4:73" hidden="1" outlineLevel="2">
      <c r="D150" t="s">
        <v>457</v>
      </c>
      <c r="F150" s="172">
        <f t="shared" si="21"/>
        <v>0</v>
      </c>
      <c r="G150" s="172">
        <f t="shared" si="22"/>
        <v>0</v>
      </c>
      <c r="H150" s="303">
        <f t="shared" si="23"/>
        <v>0</v>
      </c>
      <c r="I150" s="123">
        <f t="shared" si="25"/>
        <v>0</v>
      </c>
      <c r="J150" s="129">
        <f t="shared" si="24"/>
        <v>0</v>
      </c>
      <c r="L150" s="323"/>
      <c r="M150" s="323"/>
      <c r="N150" s="323"/>
      <c r="O150" s="323"/>
      <c r="P150" s="323"/>
      <c r="Q150" s="323"/>
      <c r="R150" s="323"/>
      <c r="S150" s="323"/>
      <c r="T150" s="323"/>
      <c r="U150" s="323"/>
      <c r="V150" s="323"/>
      <c r="W150" s="323"/>
      <c r="X150" s="323"/>
      <c r="Y150" s="323"/>
      <c r="Z150" s="323"/>
      <c r="AA150" s="323"/>
      <c r="AB150" s="323"/>
      <c r="AC150" s="323"/>
      <c r="AD150" s="323"/>
      <c r="AE150" s="323"/>
      <c r="AG150" s="323"/>
      <c r="AH150" s="323"/>
      <c r="AI150" s="323"/>
      <c r="AJ150" s="323"/>
      <c r="AK150" s="323"/>
      <c r="AL150" s="323"/>
      <c r="AM150" s="323"/>
      <c r="AN150" s="323"/>
      <c r="AO150" s="323"/>
      <c r="AP150" s="323"/>
      <c r="AQ150" s="323"/>
      <c r="AR150" s="323"/>
      <c r="AS150" s="323"/>
      <c r="AT150" s="323"/>
      <c r="AU150" s="323"/>
      <c r="AV150" s="323"/>
      <c r="AW150" s="323"/>
      <c r="AX150" s="323"/>
      <c r="AY150" s="323"/>
      <c r="AZ150" s="323"/>
      <c r="BB150" s="323"/>
      <c r="BC150" s="323"/>
      <c r="BD150" s="323"/>
      <c r="BE150" s="323"/>
      <c r="BF150" s="323"/>
      <c r="BG150" s="323"/>
      <c r="BH150" s="323"/>
      <c r="BI150" s="323"/>
      <c r="BJ150" s="323"/>
      <c r="BK150" s="323"/>
      <c r="BL150" s="323"/>
      <c r="BM150" s="323"/>
      <c r="BN150" s="323"/>
      <c r="BO150" s="323"/>
      <c r="BP150" s="323"/>
      <c r="BQ150" s="323"/>
      <c r="BR150" s="323"/>
      <c r="BS150" s="323"/>
      <c r="BT150" s="323"/>
      <c r="BU150" s="323"/>
    </row>
    <row r="151" spans="4:73" hidden="1" outlineLevel="2">
      <c r="D151" t="s">
        <v>457</v>
      </c>
      <c r="F151" s="172">
        <f t="shared" si="21"/>
        <v>0</v>
      </c>
      <c r="G151" s="172">
        <f t="shared" si="22"/>
        <v>0</v>
      </c>
      <c r="H151" s="303">
        <f t="shared" si="23"/>
        <v>0</v>
      </c>
      <c r="I151" s="123">
        <f t="shared" si="25"/>
        <v>0</v>
      </c>
      <c r="J151" s="129">
        <f t="shared" si="24"/>
        <v>0</v>
      </c>
      <c r="L151" s="323"/>
      <c r="M151" s="323"/>
      <c r="N151" s="323"/>
      <c r="O151" s="323"/>
      <c r="P151" s="323"/>
      <c r="Q151" s="323"/>
      <c r="R151" s="323"/>
      <c r="S151" s="323"/>
      <c r="T151" s="323"/>
      <c r="U151" s="323"/>
      <c r="V151" s="323"/>
      <c r="W151" s="323"/>
      <c r="X151" s="323"/>
      <c r="Y151" s="323"/>
      <c r="Z151" s="323"/>
      <c r="AA151" s="323"/>
      <c r="AB151" s="323"/>
      <c r="AC151" s="323"/>
      <c r="AD151" s="323"/>
      <c r="AE151" s="323"/>
      <c r="AG151" s="323"/>
      <c r="AH151" s="323"/>
      <c r="AI151" s="323"/>
      <c r="AJ151" s="323"/>
      <c r="AK151" s="323"/>
      <c r="AL151" s="323"/>
      <c r="AM151" s="323"/>
      <c r="AN151" s="323"/>
      <c r="AO151" s="323"/>
      <c r="AP151" s="323"/>
      <c r="AQ151" s="323"/>
      <c r="AR151" s="323"/>
      <c r="AS151" s="323"/>
      <c r="AT151" s="323"/>
      <c r="AU151" s="323"/>
      <c r="AV151" s="323"/>
      <c r="AW151" s="323"/>
      <c r="AX151" s="323"/>
      <c r="AY151" s="323"/>
      <c r="AZ151" s="323"/>
      <c r="BB151" s="323"/>
      <c r="BC151" s="323"/>
      <c r="BD151" s="323"/>
      <c r="BE151" s="323"/>
      <c r="BF151" s="323"/>
      <c r="BG151" s="323"/>
      <c r="BH151" s="323"/>
      <c r="BI151" s="323"/>
      <c r="BJ151" s="323"/>
      <c r="BK151" s="323"/>
      <c r="BL151" s="323"/>
      <c r="BM151" s="323"/>
      <c r="BN151" s="323"/>
      <c r="BO151" s="323"/>
      <c r="BP151" s="323"/>
      <c r="BQ151" s="323"/>
      <c r="BR151" s="323"/>
      <c r="BS151" s="323"/>
      <c r="BT151" s="323"/>
      <c r="BU151" s="323"/>
    </row>
    <row r="152" spans="4:73" hidden="1" outlineLevel="2">
      <c r="D152" t="s">
        <v>457</v>
      </c>
      <c r="F152" s="172">
        <f t="shared" si="21"/>
        <v>0</v>
      </c>
      <c r="G152" s="172">
        <f t="shared" si="22"/>
        <v>0</v>
      </c>
      <c r="H152" s="303">
        <f t="shared" si="23"/>
        <v>0</v>
      </c>
      <c r="I152" s="123">
        <f t="shared" si="25"/>
        <v>0</v>
      </c>
      <c r="J152" s="129">
        <f t="shared" si="24"/>
        <v>0</v>
      </c>
      <c r="L152" s="323"/>
      <c r="M152" s="323"/>
      <c r="N152" s="323"/>
      <c r="O152" s="323"/>
      <c r="P152" s="323"/>
      <c r="Q152" s="323"/>
      <c r="R152" s="323"/>
      <c r="S152" s="323"/>
      <c r="T152" s="323"/>
      <c r="U152" s="323"/>
      <c r="V152" s="323"/>
      <c r="W152" s="323"/>
      <c r="X152" s="323"/>
      <c r="Y152" s="323"/>
      <c r="Z152" s="323"/>
      <c r="AA152" s="323"/>
      <c r="AB152" s="323"/>
      <c r="AC152" s="323"/>
      <c r="AD152" s="323"/>
      <c r="AE152" s="323"/>
      <c r="AG152" s="323"/>
      <c r="AH152" s="323"/>
      <c r="AI152" s="323"/>
      <c r="AJ152" s="323"/>
      <c r="AK152" s="323"/>
      <c r="AL152" s="323"/>
      <c r="AM152" s="323"/>
      <c r="AN152" s="323"/>
      <c r="AO152" s="323"/>
      <c r="AP152" s="323"/>
      <c r="AQ152" s="323"/>
      <c r="AR152" s="323"/>
      <c r="AS152" s="323"/>
      <c r="AT152" s="323"/>
      <c r="AU152" s="323"/>
      <c r="AV152" s="323"/>
      <c r="AW152" s="323"/>
      <c r="AX152" s="323"/>
      <c r="AY152" s="323"/>
      <c r="AZ152" s="323"/>
      <c r="BB152" s="323"/>
      <c r="BC152" s="323"/>
      <c r="BD152" s="323"/>
      <c r="BE152" s="323"/>
      <c r="BF152" s="323"/>
      <c r="BG152" s="323"/>
      <c r="BH152" s="323"/>
      <c r="BI152" s="323"/>
      <c r="BJ152" s="323"/>
      <c r="BK152" s="323"/>
      <c r="BL152" s="323"/>
      <c r="BM152" s="323"/>
      <c r="BN152" s="323"/>
      <c r="BO152" s="323"/>
      <c r="BP152" s="323"/>
      <c r="BQ152" s="323"/>
      <c r="BR152" s="323"/>
      <c r="BS152" s="323"/>
      <c r="BT152" s="323"/>
      <c r="BU152" s="323"/>
    </row>
    <row r="153" spans="4:73" hidden="1" outlineLevel="2">
      <c r="D153" t="s">
        <v>457</v>
      </c>
      <c r="F153" s="172">
        <f t="shared" si="21"/>
        <v>0</v>
      </c>
      <c r="G153" s="172">
        <f t="shared" si="22"/>
        <v>0</v>
      </c>
      <c r="H153" s="303">
        <f t="shared" si="23"/>
        <v>0</v>
      </c>
      <c r="I153" s="123">
        <f t="shared" si="25"/>
        <v>0</v>
      </c>
      <c r="J153" s="129">
        <f t="shared" si="24"/>
        <v>0</v>
      </c>
      <c r="L153" s="323"/>
      <c r="M153" s="323"/>
      <c r="N153" s="323"/>
      <c r="O153" s="323"/>
      <c r="P153" s="323"/>
      <c r="Q153" s="323"/>
      <c r="R153" s="323"/>
      <c r="S153" s="323"/>
      <c r="T153" s="323"/>
      <c r="U153" s="323"/>
      <c r="V153" s="323"/>
      <c r="W153" s="323"/>
      <c r="X153" s="323"/>
      <c r="Y153" s="323"/>
      <c r="Z153" s="323"/>
      <c r="AA153" s="323"/>
      <c r="AB153" s="323"/>
      <c r="AC153" s="323"/>
      <c r="AD153" s="323"/>
      <c r="AE153" s="323"/>
      <c r="AG153" s="323"/>
      <c r="AH153" s="323"/>
      <c r="AI153" s="323"/>
      <c r="AJ153" s="323"/>
      <c r="AK153" s="323"/>
      <c r="AL153" s="323"/>
      <c r="AM153" s="323"/>
      <c r="AN153" s="323"/>
      <c r="AO153" s="323"/>
      <c r="AP153" s="323"/>
      <c r="AQ153" s="323"/>
      <c r="AR153" s="323"/>
      <c r="AS153" s="323"/>
      <c r="AT153" s="323"/>
      <c r="AU153" s="323"/>
      <c r="AV153" s="323"/>
      <c r="AW153" s="323"/>
      <c r="AX153" s="323"/>
      <c r="AY153" s="323"/>
      <c r="AZ153" s="323"/>
      <c r="BB153" s="323"/>
      <c r="BC153" s="323"/>
      <c r="BD153" s="323"/>
      <c r="BE153" s="323"/>
      <c r="BF153" s="323"/>
      <c r="BG153" s="323"/>
      <c r="BH153" s="323"/>
      <c r="BI153" s="323"/>
      <c r="BJ153" s="323"/>
      <c r="BK153" s="323"/>
      <c r="BL153" s="323"/>
      <c r="BM153" s="323"/>
      <c r="BN153" s="323"/>
      <c r="BO153" s="323"/>
      <c r="BP153" s="323"/>
      <c r="BQ153" s="323"/>
      <c r="BR153" s="323"/>
      <c r="BS153" s="323"/>
      <c r="BT153" s="323"/>
      <c r="BU153" s="323"/>
    </row>
    <row r="154" spans="4:73" hidden="1" outlineLevel="2">
      <c r="D154" t="s">
        <v>457</v>
      </c>
      <c r="F154" s="172">
        <f t="shared" si="21"/>
        <v>0</v>
      </c>
      <c r="G154" s="172">
        <f t="shared" si="22"/>
        <v>0</v>
      </c>
      <c r="H154" s="303">
        <f t="shared" si="23"/>
        <v>0</v>
      </c>
      <c r="I154" s="123">
        <f t="shared" si="25"/>
        <v>0</v>
      </c>
      <c r="J154" s="129">
        <f t="shared" si="24"/>
        <v>0</v>
      </c>
      <c r="L154" s="323"/>
      <c r="M154" s="323"/>
      <c r="N154" s="323"/>
      <c r="O154" s="323"/>
      <c r="P154" s="323"/>
      <c r="Q154" s="323"/>
      <c r="R154" s="323"/>
      <c r="S154" s="323"/>
      <c r="T154" s="323"/>
      <c r="U154" s="323"/>
      <c r="V154" s="323"/>
      <c r="W154" s="323"/>
      <c r="X154" s="323"/>
      <c r="Y154" s="323"/>
      <c r="Z154" s="323"/>
      <c r="AA154" s="323"/>
      <c r="AB154" s="323"/>
      <c r="AC154" s="323"/>
      <c r="AD154" s="323"/>
      <c r="AE154" s="323"/>
      <c r="AG154" s="323"/>
      <c r="AH154" s="323"/>
      <c r="AI154" s="323"/>
      <c r="AJ154" s="323"/>
      <c r="AK154" s="323"/>
      <c r="AL154" s="323"/>
      <c r="AM154" s="323"/>
      <c r="AN154" s="323"/>
      <c r="AO154" s="323"/>
      <c r="AP154" s="323"/>
      <c r="AQ154" s="323"/>
      <c r="AR154" s="323"/>
      <c r="AS154" s="323"/>
      <c r="AT154" s="323"/>
      <c r="AU154" s="323"/>
      <c r="AV154" s="323"/>
      <c r="AW154" s="323"/>
      <c r="AX154" s="323"/>
      <c r="AY154" s="323"/>
      <c r="AZ154" s="323"/>
      <c r="BB154" s="323"/>
      <c r="BC154" s="323"/>
      <c r="BD154" s="323"/>
      <c r="BE154" s="323"/>
      <c r="BF154" s="323"/>
      <c r="BG154" s="323"/>
      <c r="BH154" s="323"/>
      <c r="BI154" s="323"/>
      <c r="BJ154" s="323"/>
      <c r="BK154" s="323"/>
      <c r="BL154" s="323"/>
      <c r="BM154" s="323"/>
      <c r="BN154" s="323"/>
      <c r="BO154" s="323"/>
      <c r="BP154" s="323"/>
      <c r="BQ154" s="323"/>
      <c r="BR154" s="323"/>
      <c r="BS154" s="323"/>
      <c r="BT154" s="323"/>
      <c r="BU154" s="323"/>
    </row>
    <row r="155" spans="4:73" hidden="1" outlineLevel="2">
      <c r="D155" t="s">
        <v>457</v>
      </c>
      <c r="F155" s="172">
        <f t="shared" si="21"/>
        <v>0</v>
      </c>
      <c r="G155" s="172">
        <f t="shared" si="22"/>
        <v>0</v>
      </c>
      <c r="H155" s="303">
        <f t="shared" si="23"/>
        <v>0</v>
      </c>
      <c r="I155" s="123">
        <f t="shared" si="25"/>
        <v>0</v>
      </c>
      <c r="J155" s="129">
        <f t="shared" si="24"/>
        <v>0</v>
      </c>
      <c r="L155" s="323"/>
      <c r="M155" s="323"/>
      <c r="N155" s="323"/>
      <c r="O155" s="323"/>
      <c r="P155" s="323"/>
      <c r="Q155" s="323"/>
      <c r="R155" s="323"/>
      <c r="S155" s="323"/>
      <c r="T155" s="323"/>
      <c r="U155" s="323"/>
      <c r="V155" s="323"/>
      <c r="W155" s="323"/>
      <c r="X155" s="323"/>
      <c r="Y155" s="323"/>
      <c r="Z155" s="323"/>
      <c r="AA155" s="323"/>
      <c r="AB155" s="323"/>
      <c r="AC155" s="323"/>
      <c r="AD155" s="323"/>
      <c r="AE155" s="323"/>
      <c r="AG155" s="323"/>
      <c r="AH155" s="323"/>
      <c r="AI155" s="323"/>
      <c r="AJ155" s="323"/>
      <c r="AK155" s="323"/>
      <c r="AL155" s="323"/>
      <c r="AM155" s="323"/>
      <c r="AN155" s="323"/>
      <c r="AO155" s="323"/>
      <c r="AP155" s="323"/>
      <c r="AQ155" s="323"/>
      <c r="AR155" s="323"/>
      <c r="AS155" s="323"/>
      <c r="AT155" s="323"/>
      <c r="AU155" s="323"/>
      <c r="AV155" s="323"/>
      <c r="AW155" s="323"/>
      <c r="AX155" s="323"/>
      <c r="AY155" s="323"/>
      <c r="AZ155" s="323"/>
      <c r="BB155" s="323"/>
      <c r="BC155" s="323"/>
      <c r="BD155" s="323"/>
      <c r="BE155" s="323"/>
      <c r="BF155" s="323"/>
      <c r="BG155" s="323"/>
      <c r="BH155" s="323"/>
      <c r="BI155" s="323"/>
      <c r="BJ155" s="323"/>
      <c r="BK155" s="323"/>
      <c r="BL155" s="323"/>
      <c r="BM155" s="323"/>
      <c r="BN155" s="323"/>
      <c r="BO155" s="323"/>
      <c r="BP155" s="323"/>
      <c r="BQ155" s="323"/>
      <c r="BR155" s="323"/>
      <c r="BS155" s="323"/>
      <c r="BT155" s="323"/>
      <c r="BU155" s="323"/>
    </row>
    <row r="156" spans="4:73" outlineLevel="1" collapsed="1">
      <c r="D156" t="s">
        <v>457</v>
      </c>
      <c r="F156" s="172">
        <f t="shared" si="21"/>
        <v>0</v>
      </c>
      <c r="G156" s="172">
        <f t="shared" si="22"/>
        <v>0</v>
      </c>
      <c r="H156" s="303">
        <f t="shared" si="23"/>
        <v>0</v>
      </c>
      <c r="I156" s="123">
        <f t="shared" si="25"/>
        <v>0</v>
      </c>
      <c r="J156" s="129">
        <f t="shared" si="24"/>
        <v>0</v>
      </c>
      <c r="L156" s="323"/>
      <c r="M156" s="323"/>
      <c r="N156" s="323"/>
      <c r="O156" s="323"/>
      <c r="P156" s="323"/>
      <c r="Q156" s="323"/>
      <c r="R156" s="323"/>
      <c r="S156" s="323"/>
      <c r="T156" s="323"/>
      <c r="U156" s="323"/>
      <c r="V156" s="323"/>
      <c r="W156" s="323"/>
      <c r="X156" s="323"/>
      <c r="Y156" s="323"/>
      <c r="Z156" s="323"/>
      <c r="AA156" s="323"/>
      <c r="AB156" s="323"/>
      <c r="AC156" s="323"/>
      <c r="AD156" s="323"/>
      <c r="AE156" s="323"/>
      <c r="AG156" s="323"/>
      <c r="AH156" s="323"/>
      <c r="AI156" s="323"/>
      <c r="AJ156" s="323"/>
      <c r="AK156" s="323"/>
      <c r="AL156" s="323"/>
      <c r="AM156" s="323"/>
      <c r="AN156" s="323"/>
      <c r="AO156" s="323"/>
      <c r="AP156" s="323"/>
      <c r="AQ156" s="323"/>
      <c r="AR156" s="323"/>
      <c r="AS156" s="323"/>
      <c r="AT156" s="323"/>
      <c r="AU156" s="323"/>
      <c r="AV156" s="323"/>
      <c r="AW156" s="323"/>
      <c r="AX156" s="323"/>
      <c r="AY156" s="323"/>
      <c r="AZ156" s="323"/>
      <c r="BB156" s="323"/>
      <c r="BC156" s="323"/>
      <c r="BD156" s="323"/>
      <c r="BE156" s="323"/>
      <c r="BF156" s="323"/>
      <c r="BG156" s="323"/>
      <c r="BH156" s="323"/>
      <c r="BI156" s="323"/>
      <c r="BJ156" s="323"/>
      <c r="BK156" s="323"/>
      <c r="BL156" s="323"/>
      <c r="BM156" s="323"/>
      <c r="BN156" s="323"/>
      <c r="BO156" s="323"/>
      <c r="BP156" s="323"/>
      <c r="BQ156" s="323"/>
      <c r="BR156" s="323"/>
      <c r="BS156" s="323"/>
      <c r="BT156" s="323"/>
      <c r="BU156" s="323"/>
    </row>
    <row r="157" spans="4:73" outlineLevel="1">
      <c r="D157" t="s">
        <v>457</v>
      </c>
      <c r="F157" s="172">
        <f t="shared" si="21"/>
        <v>0</v>
      </c>
      <c r="G157" s="172">
        <f t="shared" si="22"/>
        <v>0</v>
      </c>
      <c r="H157" s="303">
        <f t="shared" si="23"/>
        <v>0</v>
      </c>
      <c r="I157" s="123">
        <f t="shared" si="25"/>
        <v>0</v>
      </c>
      <c r="J157" s="129">
        <f t="shared" si="24"/>
        <v>0</v>
      </c>
      <c r="L157" s="323"/>
      <c r="M157" s="323"/>
      <c r="N157" s="323"/>
      <c r="O157" s="323"/>
      <c r="P157" s="323"/>
      <c r="Q157" s="323"/>
      <c r="R157" s="323"/>
      <c r="S157" s="323"/>
      <c r="T157" s="323"/>
      <c r="U157" s="323"/>
      <c r="V157" s="323"/>
      <c r="W157" s="323"/>
      <c r="X157" s="323"/>
      <c r="Y157" s="323"/>
      <c r="Z157" s="323"/>
      <c r="AA157" s="323"/>
      <c r="AB157" s="323"/>
      <c r="AC157" s="323"/>
      <c r="AD157" s="323"/>
      <c r="AE157" s="323"/>
      <c r="AG157" s="323"/>
      <c r="AH157" s="323"/>
      <c r="AI157" s="323"/>
      <c r="AJ157" s="323"/>
      <c r="AK157" s="323"/>
      <c r="AL157" s="323"/>
      <c r="AM157" s="323"/>
      <c r="AN157" s="323"/>
      <c r="AO157" s="323"/>
      <c r="AP157" s="323"/>
      <c r="AQ157" s="323"/>
      <c r="AR157" s="323"/>
      <c r="AS157" s="323"/>
      <c r="AT157" s="323"/>
      <c r="AU157" s="323"/>
      <c r="AV157" s="323"/>
      <c r="AW157" s="323"/>
      <c r="AX157" s="323"/>
      <c r="AY157" s="323"/>
      <c r="AZ157" s="323"/>
      <c r="BB157" s="323"/>
      <c r="BC157" s="323"/>
      <c r="BD157" s="323"/>
      <c r="BE157" s="323"/>
      <c r="BF157" s="323"/>
      <c r="BG157" s="323"/>
      <c r="BH157" s="323"/>
      <c r="BI157" s="323"/>
      <c r="BJ157" s="323"/>
      <c r="BK157" s="323"/>
      <c r="BL157" s="323"/>
      <c r="BM157" s="323"/>
      <c r="BN157" s="323"/>
      <c r="BO157" s="323"/>
      <c r="BP157" s="323"/>
      <c r="BQ157" s="323"/>
      <c r="BR157" s="323"/>
      <c r="BS157" s="323"/>
      <c r="BT157" s="323"/>
      <c r="BU157" s="323"/>
    </row>
    <row r="158" spans="4:73" outlineLevel="1">
      <c r="F158" s="184">
        <v>0</v>
      </c>
      <c r="G158" s="129"/>
      <c r="H158" s="304">
        <f>H157</f>
        <v>0</v>
      </c>
      <c r="I158" s="123">
        <f t="shared" si="25"/>
        <v>0</v>
      </c>
      <c r="J158" s="130"/>
    </row>
    <row r="159" spans="4:73" ht="12" outlineLevel="1">
      <c r="H159" s="43" t="s">
        <v>305</v>
      </c>
      <c r="J159" s="43" t="s">
        <v>354</v>
      </c>
    </row>
    <row r="161" spans="1:17" ht="15.5">
      <c r="A161" s="36" t="s">
        <v>372</v>
      </c>
    </row>
    <row r="163" spans="1:17">
      <c r="B163" s="35" t="s">
        <v>193</v>
      </c>
    </row>
    <row r="164" spans="1:17" outlineLevel="1">
      <c r="F164" s="66" t="s">
        <v>279</v>
      </c>
      <c r="G164" s="66"/>
      <c r="H164" s="131"/>
      <c r="J164" s="66" t="s">
        <v>280</v>
      </c>
      <c r="K164" s="66"/>
      <c r="L164" s="131"/>
      <c r="N164" s="66" t="s">
        <v>459</v>
      </c>
      <c r="O164" s="66"/>
      <c r="P164" s="66"/>
    </row>
    <row r="165" spans="1:17" ht="25.5" customHeight="1" outlineLevel="1">
      <c r="F165" s="1" t="str">
        <f t="array" ref="F165:H165">TRANSPOSE(destination.IC)</f>
        <v>Off-net fixed</v>
      </c>
      <c r="G165" s="1" t="str">
        <v>Off-net mobile</v>
      </c>
      <c r="H165" s="1" t="str">
        <v>International</v>
      </c>
      <c r="J165" s="1" t="str">
        <f t="array" ref="J165:L165">TRANSPOSE(destination.IC)</f>
        <v>Off-net fixed</v>
      </c>
      <c r="K165" s="1" t="str">
        <v>Off-net mobile</v>
      </c>
      <c r="L165" s="1" t="str">
        <v>International</v>
      </c>
      <c r="N165" s="1" t="s">
        <v>281</v>
      </c>
      <c r="O165" s="1" t="s">
        <v>164</v>
      </c>
      <c r="P165" s="1" t="s">
        <v>139</v>
      </c>
    </row>
    <row r="166" spans="1:17" ht="12" outlineLevel="1">
      <c r="C166" s="98" t="s">
        <v>283</v>
      </c>
      <c r="D166" t="s">
        <v>282</v>
      </c>
      <c r="F166" s="133">
        <f>INDEX(F167:F186,Current.ws.offer)</f>
        <v>0</v>
      </c>
      <c r="G166" s="133">
        <f>INDEX(G167:G186,Current.ws.offer)</f>
        <v>0</v>
      </c>
      <c r="H166" s="133">
        <f>INDEX(H167:H186,Current.ws.offer)</f>
        <v>0</v>
      </c>
      <c r="I166" s="43" t="s">
        <v>296</v>
      </c>
      <c r="J166" s="133">
        <f>INDEX(J167:J186,Current.ws.offer)</f>
        <v>0</v>
      </c>
      <c r="K166" s="133">
        <f>INDEX(K167:K186,Current.ws.offer)</f>
        <v>0</v>
      </c>
      <c r="L166" s="133">
        <f>INDEX(L167:L186,Current.ws.offer)</f>
        <v>0</v>
      </c>
      <c r="M166" s="43" t="s">
        <v>297</v>
      </c>
      <c r="N166" s="133">
        <f>INDEX(N167:N186,Current.ws.offer)</f>
        <v>0</v>
      </c>
      <c r="O166" s="133">
        <f>INDEX(O167:O186,Current.ws.offer)</f>
        <v>0</v>
      </c>
      <c r="P166" s="133">
        <f>INDEX(P167:P186,Current.ws.offer)</f>
        <v>0</v>
      </c>
      <c r="Q166" s="43" t="s">
        <v>298</v>
      </c>
    </row>
    <row r="167" spans="1:17" outlineLevel="1">
      <c r="C167" s="208" t="str">
        <f t="array" ref="C167:C186">wholesale.offers</f>
        <v>Spare offer 1</v>
      </c>
      <c r="D167" t="s">
        <v>282</v>
      </c>
      <c r="F167" s="324"/>
      <c r="G167" s="324"/>
      <c r="H167" s="324"/>
      <c r="J167" s="214"/>
      <c r="K167" s="324"/>
      <c r="L167" s="324"/>
      <c r="N167" s="324"/>
      <c r="O167" s="324"/>
      <c r="P167" s="325"/>
    </row>
    <row r="168" spans="1:17" hidden="1" outlineLevel="2">
      <c r="C168" s="208" t="str">
        <v>Spare offer 2</v>
      </c>
      <c r="D168" t="s">
        <v>282</v>
      </c>
      <c r="F168" s="324"/>
      <c r="G168" s="324"/>
      <c r="H168" s="324"/>
      <c r="J168" s="214"/>
      <c r="K168" s="324"/>
      <c r="L168" s="324"/>
      <c r="N168" s="324"/>
      <c r="O168" s="324"/>
      <c r="P168" s="325"/>
    </row>
    <row r="169" spans="1:17" hidden="1" outlineLevel="2">
      <c r="C169" s="208" t="str">
        <v>Spare offer 3</v>
      </c>
      <c r="D169" t="s">
        <v>282</v>
      </c>
      <c r="F169" s="324"/>
      <c r="G169" s="324"/>
      <c r="H169" s="324"/>
      <c r="J169" s="214"/>
      <c r="K169" s="324"/>
      <c r="L169" s="324"/>
      <c r="N169" s="324"/>
      <c r="O169" s="324"/>
      <c r="P169" s="325"/>
    </row>
    <row r="170" spans="1:17" hidden="1" outlineLevel="2">
      <c r="C170" s="208" t="str">
        <v>Spare offer 4</v>
      </c>
      <c r="D170" t="s">
        <v>282</v>
      </c>
      <c r="F170" s="324"/>
      <c r="G170" s="324"/>
      <c r="H170" s="324"/>
      <c r="J170" s="214"/>
      <c r="K170" s="324"/>
      <c r="L170" s="324"/>
      <c r="N170" s="324"/>
      <c r="O170" s="324"/>
      <c r="P170" s="325"/>
    </row>
    <row r="171" spans="1:17" hidden="1" outlineLevel="2">
      <c r="C171" s="208" t="str">
        <v>Spare offer 5</v>
      </c>
      <c r="D171" t="s">
        <v>282</v>
      </c>
      <c r="F171" s="325"/>
      <c r="G171" s="325"/>
      <c r="H171" s="325"/>
      <c r="J171" s="214"/>
      <c r="K171" s="325"/>
      <c r="L171" s="325"/>
      <c r="N171" s="325"/>
      <c r="O171" s="325"/>
      <c r="P171" s="325"/>
    </row>
    <row r="172" spans="1:17" hidden="1" outlineLevel="2">
      <c r="C172" s="208" t="str">
        <v>Spare offer 6</v>
      </c>
      <c r="D172" t="s">
        <v>282</v>
      </c>
      <c r="F172" s="325"/>
      <c r="G172" s="325"/>
      <c r="H172" s="325"/>
      <c r="J172" s="214"/>
      <c r="K172" s="325"/>
      <c r="L172" s="325"/>
      <c r="N172" s="323"/>
      <c r="O172" s="323"/>
      <c r="P172" s="325"/>
    </row>
    <row r="173" spans="1:17" hidden="1" outlineLevel="2">
      <c r="C173" s="208" t="str">
        <v>Spare offer 7</v>
      </c>
      <c r="D173" t="s">
        <v>282</v>
      </c>
      <c r="F173" s="325"/>
      <c r="G173" s="325"/>
      <c r="H173" s="325"/>
      <c r="J173" s="214"/>
      <c r="K173" s="325"/>
      <c r="L173" s="325"/>
      <c r="N173" s="323"/>
      <c r="O173" s="323"/>
      <c r="P173" s="325"/>
    </row>
    <row r="174" spans="1:17" hidden="1" outlineLevel="2">
      <c r="C174" s="208" t="str">
        <v>Spare offer 8</v>
      </c>
      <c r="D174" t="s">
        <v>282</v>
      </c>
      <c r="F174" s="325"/>
      <c r="G174" s="325"/>
      <c r="H174" s="325"/>
      <c r="J174" s="214"/>
      <c r="K174" s="325"/>
      <c r="L174" s="325"/>
      <c r="N174" s="323"/>
      <c r="O174" s="323"/>
      <c r="P174" s="325"/>
    </row>
    <row r="175" spans="1:17" hidden="1" outlineLevel="2">
      <c r="C175" s="208" t="str">
        <v>Spare offer 9</v>
      </c>
      <c r="D175" t="s">
        <v>282</v>
      </c>
      <c r="F175" s="325"/>
      <c r="G175" s="325"/>
      <c r="H175" s="325"/>
      <c r="J175" s="214"/>
      <c r="K175" s="325"/>
      <c r="L175" s="325"/>
      <c r="N175" s="323"/>
      <c r="O175" s="323"/>
      <c r="P175" s="325"/>
    </row>
    <row r="176" spans="1:17" hidden="1" outlineLevel="2">
      <c r="C176" s="208" t="str">
        <v>Spare offer 10</v>
      </c>
      <c r="D176" t="s">
        <v>282</v>
      </c>
      <c r="F176" s="325"/>
      <c r="G176" s="325"/>
      <c r="H176" s="325"/>
      <c r="J176" s="214"/>
      <c r="K176" s="325"/>
      <c r="L176" s="325"/>
      <c r="N176" s="323"/>
      <c r="O176" s="323"/>
      <c r="P176" s="325"/>
    </row>
    <row r="177" spans="2:16" hidden="1" outlineLevel="2">
      <c r="C177" s="208" t="str">
        <v>Spare offer 11</v>
      </c>
      <c r="D177" t="s">
        <v>282</v>
      </c>
      <c r="F177" s="325"/>
      <c r="G177" s="325"/>
      <c r="H177" s="325"/>
      <c r="J177" s="214"/>
      <c r="K177" s="325"/>
      <c r="L177" s="325"/>
      <c r="N177" s="323"/>
      <c r="O177" s="323"/>
      <c r="P177" s="325"/>
    </row>
    <row r="178" spans="2:16" hidden="1" outlineLevel="2">
      <c r="C178" s="208" t="str">
        <v>Spare offer 12</v>
      </c>
      <c r="D178" t="s">
        <v>282</v>
      </c>
      <c r="F178" s="325"/>
      <c r="G178" s="325"/>
      <c r="H178" s="325"/>
      <c r="J178" s="214"/>
      <c r="K178" s="325"/>
      <c r="L178" s="325"/>
      <c r="N178" s="323"/>
      <c r="O178" s="323"/>
      <c r="P178" s="325"/>
    </row>
    <row r="179" spans="2:16" hidden="1" outlineLevel="2">
      <c r="C179" s="208" t="str">
        <v>Spare offer 13</v>
      </c>
      <c r="D179" t="s">
        <v>282</v>
      </c>
      <c r="F179" s="325"/>
      <c r="G179" s="325"/>
      <c r="H179" s="325"/>
      <c r="J179" s="214"/>
      <c r="K179" s="325"/>
      <c r="L179" s="325"/>
      <c r="N179" s="323"/>
      <c r="O179" s="323"/>
      <c r="P179" s="325"/>
    </row>
    <row r="180" spans="2:16" hidden="1" outlineLevel="2">
      <c r="C180" s="208" t="str">
        <v>Spare offer 14</v>
      </c>
      <c r="D180" t="s">
        <v>282</v>
      </c>
      <c r="F180" s="325"/>
      <c r="G180" s="325"/>
      <c r="H180" s="325"/>
      <c r="J180" s="214"/>
      <c r="K180" s="325"/>
      <c r="L180" s="325"/>
      <c r="N180" s="323"/>
      <c r="O180" s="323"/>
      <c r="P180" s="325"/>
    </row>
    <row r="181" spans="2:16" hidden="1" outlineLevel="2">
      <c r="C181" s="208" t="str">
        <v>Spare offer 15</v>
      </c>
      <c r="D181" t="s">
        <v>282</v>
      </c>
      <c r="F181" s="325"/>
      <c r="G181" s="325"/>
      <c r="H181" s="325"/>
      <c r="J181" s="214"/>
      <c r="K181" s="325"/>
      <c r="L181" s="325"/>
      <c r="N181" s="323"/>
      <c r="O181" s="323"/>
      <c r="P181" s="325"/>
    </row>
    <row r="182" spans="2:16" hidden="1" outlineLevel="2">
      <c r="C182" s="208" t="str">
        <v>Spare offer 16</v>
      </c>
      <c r="D182" t="s">
        <v>282</v>
      </c>
      <c r="F182" s="325"/>
      <c r="G182" s="325"/>
      <c r="H182" s="325"/>
      <c r="J182" s="214"/>
      <c r="K182" s="325"/>
      <c r="L182" s="325"/>
      <c r="N182" s="323"/>
      <c r="O182" s="323"/>
      <c r="P182" s="325"/>
    </row>
    <row r="183" spans="2:16" hidden="1" outlineLevel="2">
      <c r="C183" s="208" t="str">
        <v>Spare offer 17</v>
      </c>
      <c r="D183" t="s">
        <v>282</v>
      </c>
      <c r="F183" s="324"/>
      <c r="G183" s="324"/>
      <c r="H183" s="324"/>
      <c r="J183" s="214"/>
      <c r="K183" s="324"/>
      <c r="L183" s="324"/>
      <c r="N183" s="324"/>
      <c r="O183" s="324"/>
      <c r="P183" s="325"/>
    </row>
    <row r="184" spans="2:16" hidden="1" outlineLevel="2">
      <c r="C184" s="208" t="str">
        <v>Spare offer 18</v>
      </c>
      <c r="D184" t="s">
        <v>282</v>
      </c>
      <c r="F184" s="325"/>
      <c r="G184" s="325"/>
      <c r="H184" s="325"/>
      <c r="J184" s="214"/>
      <c r="K184" s="325"/>
      <c r="L184" s="325"/>
      <c r="N184" s="324"/>
      <c r="O184" s="324"/>
      <c r="P184" s="325"/>
    </row>
    <row r="185" spans="2:16" hidden="1" outlineLevel="2">
      <c r="C185" s="208" t="str">
        <v>Spare offer 19</v>
      </c>
      <c r="D185" t="s">
        <v>282</v>
      </c>
      <c r="F185" s="325"/>
      <c r="G185" s="325"/>
      <c r="H185" s="325"/>
      <c r="J185" s="214"/>
      <c r="K185" s="325"/>
      <c r="L185" s="325"/>
      <c r="N185" s="323"/>
      <c r="O185" s="323"/>
      <c r="P185" s="325"/>
    </row>
    <row r="186" spans="2:16" outlineLevel="1" collapsed="1">
      <c r="C186" s="208" t="str">
        <v>Spare offer 20</v>
      </c>
      <c r="D186" t="s">
        <v>282</v>
      </c>
      <c r="F186" s="325"/>
      <c r="G186" s="325"/>
      <c r="H186" s="325"/>
      <c r="J186" s="214"/>
      <c r="K186" s="325"/>
      <c r="L186" s="325"/>
      <c r="N186" s="323"/>
      <c r="O186" s="323"/>
      <c r="P186" s="325"/>
    </row>
    <row r="187" spans="2:16" outlineLevel="1"/>
    <row r="188" spans="2:16" outlineLevel="1">
      <c r="B188">
        <f>MATCH(C188,$C$12:$C$31,0)</f>
        <v>1</v>
      </c>
      <c r="C188" s="73" t="str">
        <f t="array" ref="C188:C189">current.MVNO.and.SP.offer</f>
        <v>Spare offer 1</v>
      </c>
      <c r="D188" s="122">
        <f>IF(F188&gt;F189,IF(F189&gt;0,IF(F189&gt;0,1,0)))+IF(G188&gt;G189,IF(G189&gt;0,1,0))+IF(H188&gt;H189,IF(H189&gt;0,1,0))+IF(I188&gt;I189,IF(I189&gt;0,1,0))+IF(J188&gt;J189,IF(J189&gt;0,1,0))+IF(K188&gt;K189,IF(K189&gt;0,1,0))+IF(L188&gt;L189,IF(L189&gt;0,1,0))+IF(N188&gt;N189,IF(N189&gt;0,1,0))+IF(O188&gt;O189,IF(O189&gt;0,1,0))+IF(P188&gt;P189,IF(P189&gt;0,1,0))</f>
        <v>0</v>
      </c>
      <c r="F188" s="268">
        <f t="shared" ref="F188:L188" si="26">INDEX(F167:F186,$B188)</f>
        <v>0</v>
      </c>
      <c r="G188" s="268">
        <f t="shared" si="26"/>
        <v>0</v>
      </c>
      <c r="H188" s="268">
        <f t="shared" si="26"/>
        <v>0</v>
      </c>
      <c r="I188" s="268">
        <f t="shared" si="26"/>
        <v>0</v>
      </c>
      <c r="J188" s="268">
        <f t="shared" si="26"/>
        <v>0</v>
      </c>
      <c r="K188" s="268">
        <f t="shared" si="26"/>
        <v>0</v>
      </c>
      <c r="L188" s="268">
        <f t="shared" si="26"/>
        <v>0</v>
      </c>
      <c r="M188" s="108"/>
      <c r="N188" s="268">
        <f t="shared" ref="N188:P188" si="27">INDEX(N167:N186,$B188)</f>
        <v>0</v>
      </c>
      <c r="O188" s="268">
        <f t="shared" si="27"/>
        <v>0</v>
      </c>
      <c r="P188" s="268">
        <f t="shared" si="27"/>
        <v>0</v>
      </c>
    </row>
    <row r="189" spans="2:16" ht="12" outlineLevel="1">
      <c r="B189">
        <f>MATCH(C189,$C$12:$C$31,0)</f>
        <v>9</v>
      </c>
      <c r="C189" s="73" t="str">
        <v>Spare offer 9</v>
      </c>
      <c r="D189" s="43" t="s">
        <v>539</v>
      </c>
      <c r="F189" s="19">
        <f>INDEX(F167:F186,$B189)</f>
        <v>0</v>
      </c>
      <c r="G189" s="19">
        <f t="shared" ref="G189:L189" si="28">INDEX(G167:G186,$B189)</f>
        <v>0</v>
      </c>
      <c r="H189" s="19">
        <f t="shared" si="28"/>
        <v>0</v>
      </c>
      <c r="I189" s="19">
        <f t="shared" si="28"/>
        <v>0</v>
      </c>
      <c r="J189" s="19">
        <f t="shared" si="28"/>
        <v>0</v>
      </c>
      <c r="K189" s="19">
        <f t="shared" si="28"/>
        <v>0</v>
      </c>
      <c r="L189" s="19">
        <f t="shared" si="28"/>
        <v>0</v>
      </c>
      <c r="M189" s="108"/>
      <c r="N189" s="19">
        <f t="shared" ref="N189:P189" si="29">INDEX(N167:N186,$B189)</f>
        <v>0</v>
      </c>
      <c r="O189" s="19">
        <f t="shared" si="29"/>
        <v>0</v>
      </c>
      <c r="P189" s="19">
        <f t="shared" si="29"/>
        <v>0</v>
      </c>
    </row>
    <row r="190" spans="2:16" outlineLevel="1"/>
    <row r="191" spans="2:16">
      <c r="B191" s="35" t="s">
        <v>264</v>
      </c>
    </row>
    <row r="192" spans="2:16">
      <c r="B192" s="35"/>
      <c r="C192" t="s">
        <v>628</v>
      </c>
      <c r="F192" s="325"/>
      <c r="G192" s="325"/>
      <c r="H192" s="325"/>
      <c r="I192" s="325"/>
      <c r="J192" s="325"/>
      <c r="K192" s="325"/>
      <c r="L192" s="325"/>
      <c r="M192" s="325"/>
      <c r="N192" s="325"/>
    </row>
    <row r="193" spans="2:15">
      <c r="B193" s="35"/>
    </row>
    <row r="194" spans="2:15" ht="34.5" outlineLevel="1">
      <c r="F194" s="1" t="str">
        <f t="array" ref="F194:N194">options.selected.roaming.detailed</f>
        <v>Roaming voice (EEA)</v>
      </c>
      <c r="G194" s="1" t="str">
        <v>Roaming voice (non-EEA)</v>
      </c>
      <c r="H194" s="1" t="str">
        <v>Roaming CF (EEA)</v>
      </c>
      <c r="I194" s="1" t="str">
        <v>Roaming CF (non-EEA)</v>
      </c>
      <c r="J194" s="1" t="str">
        <v>Roaming messages (EEA)</v>
      </c>
      <c r="K194" s="1" t="str">
        <v>Roaming messages (non-EEA)</v>
      </c>
      <c r="L194" s="1" t="str">
        <v>Roaming data (EEA)</v>
      </c>
      <c r="M194" s="1" t="str">
        <v>Roaming data (non-EEA)</v>
      </c>
      <c r="N194" s="1" t="str">
        <v>Spare 1</v>
      </c>
    </row>
    <row r="195" spans="2:15" ht="12" outlineLevel="1">
      <c r="C195" s="98" t="s">
        <v>283</v>
      </c>
      <c r="D195" t="s">
        <v>338</v>
      </c>
      <c r="F195" s="183">
        <f t="shared" ref="F195:N195" si="30">INDEX(F196:F215,Current.ws.offer)</f>
        <v>0</v>
      </c>
      <c r="G195" s="183">
        <f t="shared" si="30"/>
        <v>0</v>
      </c>
      <c r="H195" s="183">
        <f t="shared" si="30"/>
        <v>0</v>
      </c>
      <c r="I195" s="183">
        <f t="shared" si="30"/>
        <v>0</v>
      </c>
      <c r="J195" s="183">
        <f t="shared" si="30"/>
        <v>0</v>
      </c>
      <c r="K195" s="183">
        <f t="shared" si="30"/>
        <v>0</v>
      </c>
      <c r="L195" s="183">
        <f t="shared" si="30"/>
        <v>0</v>
      </c>
      <c r="M195" s="183">
        <f t="shared" si="30"/>
        <v>0</v>
      </c>
      <c r="N195" s="133">
        <f t="shared" si="30"/>
        <v>0</v>
      </c>
      <c r="O195" s="43" t="s">
        <v>392</v>
      </c>
    </row>
    <row r="196" spans="2:15" outlineLevel="1">
      <c r="C196" s="208" t="str">
        <f t="array" ref="C196:C215">wholesale.offers</f>
        <v>Spare offer 1</v>
      </c>
      <c r="D196" t="s">
        <v>338</v>
      </c>
      <c r="F196" s="326"/>
      <c r="G196" s="326"/>
      <c r="H196" s="326"/>
      <c r="I196" s="326"/>
      <c r="J196" s="326"/>
      <c r="K196" s="326"/>
      <c r="L196" s="326"/>
      <c r="M196" s="326"/>
      <c r="N196" s="326"/>
    </row>
    <row r="197" spans="2:15" hidden="1" outlineLevel="2">
      <c r="C197" s="208" t="str">
        <v>Spare offer 2</v>
      </c>
      <c r="D197" t="s">
        <v>338</v>
      </c>
      <c r="F197" s="326"/>
      <c r="G197" s="326"/>
      <c r="H197" s="326"/>
      <c r="I197" s="326"/>
      <c r="J197" s="326"/>
      <c r="K197" s="326"/>
      <c r="L197" s="326"/>
      <c r="M197" s="326"/>
      <c r="N197" s="326"/>
    </row>
    <row r="198" spans="2:15" hidden="1" outlineLevel="2">
      <c r="C198" s="208" t="str">
        <v>Spare offer 3</v>
      </c>
      <c r="D198" t="s">
        <v>338</v>
      </c>
      <c r="F198" s="326"/>
      <c r="G198" s="326"/>
      <c r="H198" s="326"/>
      <c r="I198" s="326"/>
      <c r="J198" s="326"/>
      <c r="K198" s="326"/>
      <c r="L198" s="326"/>
      <c r="M198" s="326"/>
      <c r="N198" s="326"/>
    </row>
    <row r="199" spans="2:15" hidden="1" outlineLevel="2">
      <c r="C199" s="208" t="str">
        <v>Spare offer 4</v>
      </c>
      <c r="D199" t="s">
        <v>338</v>
      </c>
      <c r="F199" s="326"/>
      <c r="G199" s="326"/>
      <c r="H199" s="326"/>
      <c r="I199" s="326"/>
      <c r="J199" s="326"/>
      <c r="K199" s="326"/>
      <c r="L199" s="326"/>
      <c r="M199" s="326"/>
      <c r="N199" s="326"/>
    </row>
    <row r="200" spans="2:15" hidden="1" outlineLevel="2">
      <c r="C200" s="208" t="str">
        <v>Spare offer 5</v>
      </c>
      <c r="D200" t="s">
        <v>338</v>
      </c>
      <c r="F200" s="326"/>
      <c r="G200" s="326"/>
      <c r="H200" s="326"/>
      <c r="I200" s="326"/>
      <c r="J200" s="326"/>
      <c r="K200" s="326"/>
      <c r="L200" s="326"/>
      <c r="M200" s="326"/>
      <c r="N200" s="326"/>
    </row>
    <row r="201" spans="2:15" hidden="1" outlineLevel="2">
      <c r="C201" s="208" t="str">
        <v>Spare offer 6</v>
      </c>
      <c r="D201" t="s">
        <v>338</v>
      </c>
      <c r="F201" s="326"/>
      <c r="G201" s="326"/>
      <c r="H201" s="326"/>
      <c r="I201" s="326"/>
      <c r="J201" s="326"/>
      <c r="K201" s="326"/>
      <c r="L201" s="326"/>
      <c r="M201" s="326"/>
      <c r="N201" s="326"/>
    </row>
    <row r="202" spans="2:15" hidden="1" outlineLevel="2">
      <c r="C202" s="208" t="str">
        <v>Spare offer 7</v>
      </c>
      <c r="D202" t="s">
        <v>338</v>
      </c>
      <c r="F202" s="326"/>
      <c r="G202" s="326"/>
      <c r="H202" s="326"/>
      <c r="I202" s="326"/>
      <c r="J202" s="326"/>
      <c r="K202" s="326"/>
      <c r="L202" s="326"/>
      <c r="M202" s="326"/>
      <c r="N202" s="326"/>
    </row>
    <row r="203" spans="2:15" hidden="1" outlineLevel="2">
      <c r="C203" s="208" t="str">
        <v>Spare offer 8</v>
      </c>
      <c r="D203" t="s">
        <v>338</v>
      </c>
      <c r="F203" s="326"/>
      <c r="G203" s="326"/>
      <c r="H203" s="326"/>
      <c r="I203" s="326"/>
      <c r="J203" s="326"/>
      <c r="K203" s="326"/>
      <c r="L203" s="326"/>
      <c r="M203" s="326"/>
      <c r="N203" s="326"/>
    </row>
    <row r="204" spans="2:15" hidden="1" outlineLevel="2">
      <c r="C204" s="208" t="str">
        <v>Spare offer 9</v>
      </c>
      <c r="D204" t="s">
        <v>338</v>
      </c>
      <c r="F204" s="326"/>
      <c r="G204" s="326"/>
      <c r="H204" s="326"/>
      <c r="I204" s="326"/>
      <c r="J204" s="326"/>
      <c r="K204" s="326"/>
      <c r="L204" s="326"/>
      <c r="M204" s="326"/>
      <c r="N204" s="326"/>
    </row>
    <row r="205" spans="2:15" hidden="1" outlineLevel="2">
      <c r="C205" s="208" t="str">
        <v>Spare offer 10</v>
      </c>
      <c r="D205" t="s">
        <v>338</v>
      </c>
      <c r="F205" s="326"/>
      <c r="G205" s="326"/>
      <c r="H205" s="326"/>
      <c r="I205" s="326"/>
      <c r="J205" s="326"/>
      <c r="K205" s="326"/>
      <c r="L205" s="326"/>
      <c r="M205" s="326"/>
      <c r="N205" s="326"/>
    </row>
    <row r="206" spans="2:15" hidden="1" outlineLevel="2">
      <c r="C206" s="208" t="str">
        <v>Spare offer 11</v>
      </c>
      <c r="D206" t="s">
        <v>338</v>
      </c>
      <c r="F206" s="326"/>
      <c r="G206" s="326"/>
      <c r="H206" s="326"/>
      <c r="I206" s="326"/>
      <c r="J206" s="326"/>
      <c r="K206" s="326"/>
      <c r="L206" s="326"/>
      <c r="M206" s="326"/>
      <c r="N206" s="326"/>
    </row>
    <row r="207" spans="2:15" hidden="1" outlineLevel="2">
      <c r="C207" s="208" t="str">
        <v>Spare offer 12</v>
      </c>
      <c r="D207" t="s">
        <v>338</v>
      </c>
      <c r="F207" s="326"/>
      <c r="G207" s="326"/>
      <c r="H207" s="326"/>
      <c r="I207" s="326"/>
      <c r="J207" s="326"/>
      <c r="K207" s="326"/>
      <c r="L207" s="326"/>
      <c r="M207" s="326"/>
      <c r="N207" s="326"/>
    </row>
    <row r="208" spans="2:15" hidden="1" outlineLevel="2">
      <c r="C208" s="208" t="str">
        <v>Spare offer 13</v>
      </c>
      <c r="D208" t="s">
        <v>338</v>
      </c>
      <c r="F208" s="326"/>
      <c r="G208" s="326"/>
      <c r="H208" s="326"/>
      <c r="I208" s="326"/>
      <c r="J208" s="326"/>
      <c r="K208" s="326"/>
      <c r="L208" s="326"/>
      <c r="M208" s="326"/>
      <c r="N208" s="326"/>
    </row>
    <row r="209" spans="2:14" hidden="1" outlineLevel="2">
      <c r="C209" s="208" t="str">
        <v>Spare offer 14</v>
      </c>
      <c r="D209" t="s">
        <v>338</v>
      </c>
      <c r="F209" s="326"/>
      <c r="G209" s="326"/>
      <c r="H209" s="326"/>
      <c r="I209" s="326"/>
      <c r="J209" s="326"/>
      <c r="K209" s="326"/>
      <c r="L209" s="326"/>
      <c r="M209" s="326"/>
      <c r="N209" s="326"/>
    </row>
    <row r="210" spans="2:14" hidden="1" outlineLevel="2">
      <c r="C210" s="208" t="str">
        <v>Spare offer 15</v>
      </c>
      <c r="D210" t="s">
        <v>338</v>
      </c>
      <c r="F210" s="326"/>
      <c r="G210" s="326"/>
      <c r="H210" s="326"/>
      <c r="I210" s="326"/>
      <c r="J210" s="326"/>
      <c r="K210" s="326"/>
      <c r="L210" s="326"/>
      <c r="M210" s="326"/>
      <c r="N210" s="326"/>
    </row>
    <row r="211" spans="2:14" hidden="1" outlineLevel="2">
      <c r="C211" s="208" t="str">
        <v>Spare offer 16</v>
      </c>
      <c r="D211" t="s">
        <v>338</v>
      </c>
      <c r="F211" s="326"/>
      <c r="G211" s="326"/>
      <c r="H211" s="326"/>
      <c r="I211" s="326"/>
      <c r="J211" s="326"/>
      <c r="K211" s="326"/>
      <c r="L211" s="326"/>
      <c r="M211" s="326"/>
      <c r="N211" s="326"/>
    </row>
    <row r="212" spans="2:14" hidden="1" outlineLevel="2">
      <c r="C212" s="208" t="str">
        <v>Spare offer 17</v>
      </c>
      <c r="D212" t="s">
        <v>338</v>
      </c>
      <c r="F212" s="326"/>
      <c r="G212" s="326"/>
      <c r="H212" s="326"/>
      <c r="I212" s="326"/>
      <c r="J212" s="326"/>
      <c r="K212" s="326"/>
      <c r="L212" s="326"/>
      <c r="M212" s="326"/>
      <c r="N212" s="326"/>
    </row>
    <row r="213" spans="2:14" hidden="1" outlineLevel="2">
      <c r="C213" s="208" t="str">
        <v>Spare offer 18</v>
      </c>
      <c r="D213" t="s">
        <v>338</v>
      </c>
      <c r="F213" s="326"/>
      <c r="G213" s="326"/>
      <c r="H213" s="326"/>
      <c r="I213" s="326"/>
      <c r="J213" s="326"/>
      <c r="K213" s="326"/>
      <c r="L213" s="326"/>
      <c r="M213" s="326"/>
      <c r="N213" s="326"/>
    </row>
    <row r="214" spans="2:14" hidden="1" outlineLevel="2">
      <c r="C214" s="208" t="str">
        <v>Spare offer 19</v>
      </c>
      <c r="D214" t="s">
        <v>338</v>
      </c>
      <c r="F214" s="326"/>
      <c r="G214" s="326"/>
      <c r="H214" s="326"/>
      <c r="I214" s="326"/>
      <c r="J214" s="326"/>
      <c r="K214" s="326"/>
      <c r="L214" s="326"/>
      <c r="M214" s="326"/>
      <c r="N214" s="326"/>
    </row>
    <row r="215" spans="2:14" outlineLevel="1" collapsed="1">
      <c r="C215" s="208" t="str">
        <v>Spare offer 20</v>
      </c>
      <c r="D215" t="s">
        <v>338</v>
      </c>
      <c r="F215" s="326"/>
      <c r="G215" s="326"/>
      <c r="H215" s="326"/>
      <c r="I215" s="326"/>
      <c r="J215" s="326"/>
      <c r="K215" s="326"/>
      <c r="L215" s="326"/>
      <c r="M215" s="326"/>
      <c r="N215" s="326"/>
    </row>
    <row r="217" spans="2:14">
      <c r="B217">
        <f>MATCH(C217,$C$12:$C$31,0)</f>
        <v>1</v>
      </c>
      <c r="C217" s="73" t="str">
        <f t="array" ref="C217:C218">current.MVNO.and.SP.offer</f>
        <v>Spare offer 1</v>
      </c>
      <c r="D217" s="122">
        <f>IF(F217&gt;F218,IF(F218&gt;0,IF(F218&gt;0,1,0)))+IF(G217&gt;G218,IF(G218&gt;0,1,0))+IF(J217&gt;J218,IF(J218&gt;0,1,0))+IF(K217&gt;K218,IF(K218&gt;0,1,0))+IF(L217&gt;L218,IF(L218&gt;0,1,0))+IF(M217&gt;M218,IF(M218&gt;0,1,0))+IF(N217&gt;N218,IF(N218&gt;0,1,0))</f>
        <v>0</v>
      </c>
      <c r="F217" s="268">
        <f t="shared" ref="F217" si="31">INDEX(F196:F215,$B217)</f>
        <v>0</v>
      </c>
      <c r="G217" s="268">
        <f t="shared" ref="G217:N217" si="32">INDEX(G196:G215,$B217)</f>
        <v>0</v>
      </c>
      <c r="H217" s="268">
        <f t="shared" si="32"/>
        <v>0</v>
      </c>
      <c r="I217" s="268">
        <f t="shared" si="32"/>
        <v>0</v>
      </c>
      <c r="J217" s="268">
        <f t="shared" si="32"/>
        <v>0</v>
      </c>
      <c r="K217" s="268">
        <f t="shared" si="32"/>
        <v>0</v>
      </c>
      <c r="L217" s="268">
        <f t="shared" si="32"/>
        <v>0</v>
      </c>
      <c r="M217" s="268">
        <f t="shared" si="32"/>
        <v>0</v>
      </c>
      <c r="N217" s="268">
        <f t="shared" si="32"/>
        <v>0</v>
      </c>
    </row>
    <row r="218" spans="2:14" ht="12">
      <c r="B218">
        <f>MATCH(C218,$C$12:$C$31,0)</f>
        <v>9</v>
      </c>
      <c r="C218" s="73" t="str">
        <v>Spare offer 9</v>
      </c>
      <c r="D218" s="43" t="s">
        <v>541</v>
      </c>
      <c r="F218" s="19">
        <f>INDEX(F196:F215,$B218)</f>
        <v>0</v>
      </c>
      <c r="G218" s="19">
        <f t="shared" ref="G218:N218" si="33">INDEX(G196:G215,$B218)</f>
        <v>0</v>
      </c>
      <c r="H218" s="19">
        <f t="shared" si="33"/>
        <v>0</v>
      </c>
      <c r="I218" s="19">
        <f t="shared" si="33"/>
        <v>0</v>
      </c>
      <c r="J218" s="19">
        <f t="shared" si="33"/>
        <v>0</v>
      </c>
      <c r="K218" s="19">
        <f t="shared" si="33"/>
        <v>0</v>
      </c>
      <c r="L218" s="19">
        <f t="shared" si="33"/>
        <v>0</v>
      </c>
      <c r="M218" s="19">
        <f t="shared" si="33"/>
        <v>0</v>
      </c>
      <c r="N218" s="19">
        <f t="shared" si="33"/>
        <v>0</v>
      </c>
    </row>
    <row r="220" spans="2:14">
      <c r="B220" s="35" t="s">
        <v>161</v>
      </c>
    </row>
    <row r="221" spans="2:14" outlineLevel="1">
      <c r="H221" s="213" t="s">
        <v>458</v>
      </c>
    </row>
    <row r="222" spans="2:14" ht="23" outlineLevel="1">
      <c r="F222" s="1" t="str">
        <f t="array" ref="F222:H222">options.selected.VAS</f>
        <v>VAS minutes</v>
      </c>
      <c r="G222" s="95" t="str">
        <v>VAS BankID</v>
      </c>
      <c r="H222" s="95" t="str">
        <v>Other VAS messages</v>
      </c>
    </row>
    <row r="223" spans="2:14" ht="12" outlineLevel="1">
      <c r="C223" s="98" t="s">
        <v>283</v>
      </c>
      <c r="D223" t="s">
        <v>282</v>
      </c>
      <c r="F223" s="150">
        <f>INDEX(F224:F243,Current.ws.offer)</f>
        <v>0</v>
      </c>
      <c r="G223" s="150">
        <f>INDEX(G224:G243,Current.ws.offer)</f>
        <v>0</v>
      </c>
      <c r="H223" s="150">
        <f>INDEX(H224:H243,Current.ws.offer)</f>
        <v>0</v>
      </c>
      <c r="I223" s="43" t="s">
        <v>373</v>
      </c>
    </row>
    <row r="224" spans="2:14" outlineLevel="1">
      <c r="C224" s="208" t="str">
        <f t="array" ref="C224:C243">wholesale.offers</f>
        <v>Spare offer 1</v>
      </c>
      <c r="D224" t="s">
        <v>282</v>
      </c>
      <c r="F224" s="324"/>
      <c r="G224" s="324"/>
      <c r="H224" s="327"/>
    </row>
    <row r="225" spans="3:9" hidden="1" outlineLevel="2">
      <c r="C225" s="208" t="str">
        <v>Spare offer 2</v>
      </c>
      <c r="D225" t="s">
        <v>282</v>
      </c>
      <c r="F225" s="324"/>
      <c r="G225" s="324"/>
      <c r="H225" s="327"/>
    </row>
    <row r="226" spans="3:9" hidden="1" outlineLevel="2">
      <c r="C226" s="208" t="str">
        <v>Spare offer 3</v>
      </c>
      <c r="D226" t="s">
        <v>282</v>
      </c>
      <c r="F226" s="324"/>
      <c r="G226" s="324"/>
      <c r="H226" s="327"/>
    </row>
    <row r="227" spans="3:9" hidden="1" outlineLevel="2">
      <c r="C227" s="208" t="str">
        <v>Spare offer 4</v>
      </c>
      <c r="D227" t="s">
        <v>282</v>
      </c>
      <c r="F227" s="324"/>
      <c r="G227" s="324"/>
      <c r="H227" s="327"/>
    </row>
    <row r="228" spans="3:9" hidden="1" outlineLevel="2">
      <c r="C228" s="208" t="str">
        <v>Spare offer 5</v>
      </c>
      <c r="D228" t="s">
        <v>282</v>
      </c>
      <c r="F228" s="324"/>
      <c r="G228" s="324"/>
      <c r="H228" s="327"/>
    </row>
    <row r="229" spans="3:9" hidden="1" outlineLevel="2">
      <c r="C229" s="208" t="str">
        <v>Spare offer 6</v>
      </c>
      <c r="D229" t="s">
        <v>282</v>
      </c>
      <c r="F229" s="324"/>
      <c r="G229" s="324"/>
      <c r="H229" s="327"/>
    </row>
    <row r="230" spans="3:9" hidden="1" outlineLevel="2">
      <c r="C230" s="208" t="str">
        <v>Spare offer 7</v>
      </c>
      <c r="D230" t="s">
        <v>282</v>
      </c>
      <c r="F230" s="324"/>
      <c r="G230" s="324"/>
      <c r="H230" s="327"/>
    </row>
    <row r="231" spans="3:9" hidden="1" outlineLevel="2">
      <c r="C231" s="208" t="str">
        <v>Spare offer 8</v>
      </c>
      <c r="D231" t="s">
        <v>282</v>
      </c>
      <c r="F231" s="324"/>
      <c r="G231" s="324"/>
      <c r="H231" s="327"/>
    </row>
    <row r="232" spans="3:9" hidden="1" outlineLevel="2">
      <c r="C232" s="208" t="str">
        <v>Spare offer 9</v>
      </c>
      <c r="D232" t="s">
        <v>282</v>
      </c>
      <c r="F232" s="324"/>
      <c r="G232" s="324"/>
      <c r="H232" s="327"/>
    </row>
    <row r="233" spans="3:9" hidden="1" outlineLevel="2">
      <c r="C233" s="208" t="str">
        <v>Spare offer 10</v>
      </c>
      <c r="D233" t="s">
        <v>282</v>
      </c>
      <c r="F233" s="324"/>
      <c r="G233" s="324"/>
      <c r="H233" s="327"/>
    </row>
    <row r="234" spans="3:9" hidden="1" outlineLevel="2">
      <c r="C234" s="208" t="str">
        <v>Spare offer 11</v>
      </c>
      <c r="D234" t="s">
        <v>282</v>
      </c>
      <c r="F234" s="324"/>
      <c r="G234" s="324"/>
      <c r="H234" s="327"/>
    </row>
    <row r="235" spans="3:9" hidden="1" outlineLevel="2">
      <c r="C235" s="208" t="str">
        <v>Spare offer 12</v>
      </c>
      <c r="D235" t="s">
        <v>282</v>
      </c>
      <c r="F235" s="324"/>
      <c r="G235" s="324"/>
      <c r="H235" s="327"/>
    </row>
    <row r="236" spans="3:9" hidden="1" outlineLevel="2">
      <c r="C236" s="208" t="str">
        <v>Spare offer 13</v>
      </c>
      <c r="D236" t="s">
        <v>282</v>
      </c>
      <c r="F236" s="324"/>
      <c r="G236" s="324"/>
      <c r="H236" s="327"/>
      <c r="I236" s="243"/>
    </row>
    <row r="237" spans="3:9" hidden="1" outlineLevel="2">
      <c r="C237" s="208" t="str">
        <v>Spare offer 14</v>
      </c>
      <c r="D237" t="s">
        <v>282</v>
      </c>
      <c r="F237" s="324"/>
      <c r="G237" s="324"/>
      <c r="H237" s="327"/>
    </row>
    <row r="238" spans="3:9" hidden="1" outlineLevel="2">
      <c r="C238" s="208" t="str">
        <v>Spare offer 15</v>
      </c>
      <c r="D238" t="s">
        <v>282</v>
      </c>
      <c r="F238" s="324"/>
      <c r="G238" s="324"/>
      <c r="H238" s="327"/>
    </row>
    <row r="239" spans="3:9" hidden="1" outlineLevel="2">
      <c r="C239" s="208" t="str">
        <v>Spare offer 16</v>
      </c>
      <c r="D239" t="s">
        <v>282</v>
      </c>
      <c r="F239" s="324"/>
      <c r="G239" s="324"/>
      <c r="H239" s="327"/>
    </row>
    <row r="240" spans="3:9" hidden="1" outlineLevel="2">
      <c r="C240" s="208" t="str">
        <v>Spare offer 17</v>
      </c>
      <c r="D240" t="s">
        <v>282</v>
      </c>
      <c r="F240" s="324"/>
      <c r="G240" s="324"/>
      <c r="H240" s="327"/>
    </row>
    <row r="241" spans="2:8" hidden="1" outlineLevel="2">
      <c r="C241" s="208" t="str">
        <v>Spare offer 18</v>
      </c>
      <c r="D241" t="s">
        <v>282</v>
      </c>
      <c r="F241" s="324"/>
      <c r="G241" s="324"/>
      <c r="H241" s="327"/>
    </row>
    <row r="242" spans="2:8" hidden="1" outlineLevel="2">
      <c r="C242" s="208" t="str">
        <v>Spare offer 19</v>
      </c>
      <c r="D242" t="s">
        <v>282</v>
      </c>
      <c r="F242" s="324"/>
      <c r="G242" s="324"/>
      <c r="H242" s="327"/>
    </row>
    <row r="243" spans="2:8" outlineLevel="1" collapsed="1">
      <c r="C243" s="208" t="str">
        <v>Spare offer 20</v>
      </c>
      <c r="D243" t="s">
        <v>282</v>
      </c>
      <c r="F243" s="324"/>
      <c r="G243" s="324"/>
      <c r="H243" s="327"/>
    </row>
    <row r="244" spans="2:8" outlineLevel="1"/>
    <row r="245" spans="2:8">
      <c r="B245">
        <f>MATCH(C245,$C$12:$C$31,0)</f>
        <v>1</v>
      </c>
      <c r="C245" s="73" t="str">
        <f t="array" ref="C245:C246">current.MVNO.and.SP.offer</f>
        <v>Spare offer 1</v>
      </c>
      <c r="D245" s="122">
        <f>IF(F245&gt;F246,IF(F246&gt;0,IF(F246&gt;0,1,0)))+IF(G245&gt;G246,IF(G246&gt;0,1,0))+IF(H245&gt;H246,IF(H246&gt;0,1,0))</f>
        <v>0</v>
      </c>
      <c r="F245" s="268">
        <f t="shared" ref="F245:H245" si="34">INDEX(F224:F243,$B245)</f>
        <v>0</v>
      </c>
      <c r="G245" s="268">
        <f t="shared" si="34"/>
        <v>0</v>
      </c>
      <c r="H245" s="268">
        <f t="shared" si="34"/>
        <v>0</v>
      </c>
    </row>
    <row r="246" spans="2:8" ht="12">
      <c r="B246">
        <f>MATCH(C246,$C$12:$C$31,0)</f>
        <v>9</v>
      </c>
      <c r="C246" s="73" t="str">
        <v>Spare offer 9</v>
      </c>
      <c r="D246" s="43" t="s">
        <v>542</v>
      </c>
      <c r="F246" s="19">
        <f>INDEX(F224:F243,$B246)</f>
        <v>0</v>
      </c>
      <c r="G246" s="19">
        <f>INDEX(G224:G243,$B246)</f>
        <v>0</v>
      </c>
      <c r="H246" s="19">
        <f t="shared" ref="H246" si="35">INDEX(H224:H243,$B246)</f>
        <v>0</v>
      </c>
    </row>
    <row r="247" spans="2:8" outlineLevel="1"/>
  </sheetData>
  <conditionalFormatting sqref="F245:H245">
    <cfRule type="expression" dxfId="8" priority="4">
      <formula>AND(F245&gt;F246,F246&gt;0)</formula>
    </cfRule>
  </conditionalFormatting>
  <conditionalFormatting sqref="F60:L60">
    <cfRule type="expression" dxfId="7" priority="10">
      <formula>AND(F60&gt;F61,F61&gt;0)</formula>
    </cfRule>
  </conditionalFormatting>
  <conditionalFormatting sqref="F87:L87">
    <cfRule type="expression" dxfId="6" priority="9">
      <formula>AND(F87&gt;F88,F88&gt;0)</formula>
    </cfRule>
  </conditionalFormatting>
  <conditionalFormatting sqref="F188:L188">
    <cfRule type="expression" dxfId="5" priority="7">
      <formula>AND(F188&gt;F189,F189&gt;0)</formula>
    </cfRule>
  </conditionalFormatting>
  <conditionalFormatting sqref="F114:N114">
    <cfRule type="expression" dxfId="4" priority="3">
      <formula>AND(F114&gt;F115,F115&gt;0)</formula>
    </cfRule>
  </conditionalFormatting>
  <conditionalFormatting sqref="G33:M33 F217:N217">
    <cfRule type="expression" dxfId="3" priority="11">
      <formula>AND(F33&gt;F34,F34&gt;0)</formula>
    </cfRule>
  </conditionalFormatting>
  <conditionalFormatting sqref="N188:P188">
    <cfRule type="expression" dxfId="2" priority="6">
      <formula>AND(N188&gt;N189,N189&gt;0)</formula>
    </cfRule>
  </conditionalFormatting>
  <conditionalFormatting sqref="P114:X114">
    <cfRule type="expression" dxfId="1" priority="2">
      <formula>AND(P114&gt;P115,P115&gt;0)</formula>
    </cfRule>
  </conditionalFormatting>
  <conditionalFormatting sqref="Z114:AH114">
    <cfRule type="expression" dxfId="0" priority="1">
      <formula>AND(Z114&gt;Z115,Z115&gt;0)</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autoPageBreaks="0"/>
  </sheetPr>
  <dimension ref="A1:O77"/>
  <sheetViews>
    <sheetView showGridLines="0" defaultGridColor="0" colorId="22" zoomScaleNormal="100" workbookViewId="0">
      <pane ySplit="1" topLeftCell="A62" activePane="bottomLeft" state="frozen"/>
      <selection pane="bottomLeft" activeCell="H76" sqref="H76"/>
    </sheetView>
  </sheetViews>
  <sheetFormatPr baseColWidth="10" defaultColWidth="12.69921875" defaultRowHeight="11.5" outlineLevelRow="2"/>
  <cols>
    <col min="1" max="1" width="11.8984375" customWidth="1"/>
    <col min="2" max="2" width="6.19921875" customWidth="1"/>
    <col min="3" max="3" width="32.8984375" customWidth="1"/>
    <col min="4" max="4" width="20.59765625" customWidth="1"/>
    <col min="5" max="5" width="15.8984375" customWidth="1"/>
    <col min="6" max="6" width="14.19921875" customWidth="1"/>
    <col min="7" max="7" width="15.3984375" customWidth="1"/>
    <col min="8" max="8" width="15.59765625" customWidth="1"/>
    <col min="12" max="12" width="16.3984375" customWidth="1"/>
    <col min="13" max="13" width="16.59765625" customWidth="1"/>
    <col min="16" max="16" width="14.69921875" customWidth="1"/>
    <col min="17" max="17" width="16.8984375" customWidth="1"/>
    <col min="18" max="18" width="16.59765625" customWidth="1"/>
  </cols>
  <sheetData>
    <row r="1" spans="1:6" s="84" customFormat="1" ht="33.75" customHeight="1">
      <c r="D1" s="84" t="s">
        <v>602</v>
      </c>
    </row>
    <row r="3" spans="1:6" ht="15.5">
      <c r="A3" s="36" t="s">
        <v>7</v>
      </c>
    </row>
    <row r="4" spans="1:6" ht="12">
      <c r="C4" s="91" t="s">
        <v>333</v>
      </c>
      <c r="D4" t="s">
        <v>218</v>
      </c>
      <c r="E4" s="306">
        <f t="array" ref="E4">SUMPRODUCT(E5:E8, segment.split)</f>
        <v>0</v>
      </c>
      <c r="F4" s="43" t="s">
        <v>337</v>
      </c>
    </row>
    <row r="5" spans="1:6" ht="12">
      <c r="C5" s="208" t="str">
        <f t="array" ref="C5:C8">segments</f>
        <v>Residential</v>
      </c>
      <c r="D5" t="s">
        <v>218</v>
      </c>
      <c r="E5" s="177">
        <f>J66</f>
        <v>0</v>
      </c>
      <c r="F5" s="43" t="s">
        <v>243</v>
      </c>
    </row>
    <row r="6" spans="1:6" ht="12">
      <c r="C6" s="208" t="str">
        <v>Business</v>
      </c>
      <c r="D6" t="s">
        <v>218</v>
      </c>
      <c r="E6" s="177">
        <f t="shared" ref="E6:E8" si="0">J67</f>
        <v>0</v>
      </c>
      <c r="F6" s="43" t="s">
        <v>244</v>
      </c>
    </row>
    <row r="7" spans="1:6" ht="12">
      <c r="C7" s="208" t="str">
        <v>SpareSegmentC</v>
      </c>
      <c r="D7" t="s">
        <v>218</v>
      </c>
      <c r="E7" s="113">
        <f t="shared" si="0"/>
        <v>0</v>
      </c>
      <c r="F7" s="43" t="s">
        <v>245</v>
      </c>
    </row>
    <row r="8" spans="1:6" ht="12">
      <c r="C8" s="208" t="str">
        <v>SpareSegmentD</v>
      </c>
      <c r="D8" t="s">
        <v>218</v>
      </c>
      <c r="E8" s="113">
        <f t="shared" si="0"/>
        <v>0</v>
      </c>
      <c r="F8" s="43" t="s">
        <v>246</v>
      </c>
    </row>
    <row r="10" spans="1:6" ht="15.5">
      <c r="A10" s="36" t="s">
        <v>603</v>
      </c>
    </row>
    <row r="12" spans="1:6" s="220" customFormat="1">
      <c r="B12" s="221" t="s">
        <v>604</v>
      </c>
      <c r="C12" s="207"/>
    </row>
    <row r="13" spans="1:6" outlineLevel="1"/>
    <row r="14" spans="1:6" ht="12" outlineLevel="1">
      <c r="D14" s="1" t="s">
        <v>611</v>
      </c>
      <c r="E14" s="284" t="s">
        <v>651</v>
      </c>
      <c r="F14" s="284" t="s">
        <v>652</v>
      </c>
    </row>
    <row r="15" spans="1:6" outlineLevel="1">
      <c r="B15" s="35"/>
      <c r="C15" t="s">
        <v>615</v>
      </c>
      <c r="D15" s="283">
        <v>40909</v>
      </c>
      <c r="E15" s="287">
        <f>start.date</f>
        <v>44743</v>
      </c>
      <c r="F15" s="283">
        <v>40909</v>
      </c>
    </row>
    <row r="16" spans="1:6" outlineLevel="1">
      <c r="B16" s="35"/>
      <c r="C16" t="s">
        <v>600</v>
      </c>
      <c r="D16" s="283">
        <v>44986</v>
      </c>
      <c r="E16" s="283">
        <v>44986</v>
      </c>
      <c r="F16" s="283">
        <v>44986</v>
      </c>
    </row>
    <row r="17" spans="2:15" outlineLevel="1">
      <c r="B17" s="35"/>
      <c r="C17" t="s">
        <v>607</v>
      </c>
      <c r="D17" s="286">
        <f t="shared" ref="D17:F18" si="1">INDEX($D$25:$O$38,MATCH(YEAR(D15),$C$25:$C$38,0),MATCH(MONTH(D15),$D$24:$O$24,0))</f>
        <v>93.2</v>
      </c>
      <c r="E17">
        <f t="shared" si="1"/>
        <v>124.2</v>
      </c>
      <c r="F17" s="286">
        <f t="shared" si="1"/>
        <v>93.2</v>
      </c>
    </row>
    <row r="18" spans="2:15" outlineLevel="1">
      <c r="B18" s="35"/>
      <c r="C18" t="s">
        <v>609</v>
      </c>
      <c r="D18" s="285">
        <f t="shared" si="1"/>
        <v>127.6</v>
      </c>
      <c r="E18" s="238">
        <f t="shared" si="1"/>
        <v>127.6</v>
      </c>
      <c r="F18" s="285">
        <f t="shared" si="1"/>
        <v>127.6</v>
      </c>
    </row>
    <row r="19" spans="2:15" outlineLevel="1">
      <c r="B19" s="35"/>
      <c r="C19" t="s">
        <v>616</v>
      </c>
      <c r="D19" s="231">
        <f>ROUND((D16-D15)/days.per.year,1)</f>
        <v>11.2</v>
      </c>
      <c r="E19" s="157">
        <f>ROUND((E16-E15)/days.per.year,1)</f>
        <v>0.7</v>
      </c>
      <c r="F19" s="231">
        <f>ROUND((F16-F15)/days.per.year,1)</f>
        <v>11.2</v>
      </c>
    </row>
    <row r="20" spans="2:15" outlineLevel="1"/>
    <row r="21" spans="2:15" outlineLevel="1">
      <c r="B21" s="35"/>
      <c r="C21" t="s">
        <v>650</v>
      </c>
      <c r="D21" s="281">
        <f>ROUND(POWER(D18/D17,1/D19)-1,3)</f>
        <v>2.8000000000000001E-2</v>
      </c>
      <c r="E21" s="288">
        <f>ROUND(POWER(E18/E17,1/E19)-1,3)</f>
        <v>3.9E-2</v>
      </c>
      <c r="F21" s="280">
        <f>ROUND(POWER(F18/F17,1/F19)-1,3)</f>
        <v>2.8000000000000001E-2</v>
      </c>
    </row>
    <row r="22" spans="2:15" outlineLevel="1"/>
    <row r="23" spans="2:15" outlineLevel="1">
      <c r="C23" s="243" t="s">
        <v>619</v>
      </c>
    </row>
    <row r="24" spans="2:15" outlineLevel="1">
      <c r="C24" s="1" t="s">
        <v>606</v>
      </c>
      <c r="D24" s="1">
        <v>1</v>
      </c>
      <c r="E24" s="1">
        <v>2</v>
      </c>
      <c r="F24" s="1">
        <v>3</v>
      </c>
      <c r="G24" s="1">
        <v>4</v>
      </c>
      <c r="H24" s="1">
        <v>5</v>
      </c>
      <c r="I24" s="1">
        <v>6</v>
      </c>
      <c r="J24" s="1">
        <v>7</v>
      </c>
      <c r="K24" s="1">
        <v>8</v>
      </c>
      <c r="L24" s="1">
        <v>9</v>
      </c>
      <c r="M24" s="1">
        <v>10</v>
      </c>
      <c r="N24" s="1">
        <v>11</v>
      </c>
      <c r="O24" s="1">
        <v>12</v>
      </c>
    </row>
    <row r="25" spans="2:15" outlineLevel="1">
      <c r="C25" s="275">
        <v>2012</v>
      </c>
      <c r="D25" s="276">
        <v>93.2</v>
      </c>
      <c r="E25" s="276">
        <v>94.2</v>
      </c>
      <c r="F25" s="276">
        <v>94.1</v>
      </c>
      <c r="G25" s="276">
        <v>94.2</v>
      </c>
      <c r="H25" s="276">
        <v>94.2</v>
      </c>
      <c r="I25" s="276">
        <v>93.7</v>
      </c>
      <c r="J25" s="276">
        <v>93.3</v>
      </c>
      <c r="K25" s="276">
        <v>92.9</v>
      </c>
      <c r="L25" s="276">
        <v>93.9</v>
      </c>
      <c r="M25" s="276">
        <v>94.3</v>
      </c>
      <c r="N25" s="276">
        <v>94.4</v>
      </c>
      <c r="O25" s="276">
        <v>94.7</v>
      </c>
    </row>
    <row r="26" spans="2:15" outlineLevel="1">
      <c r="C26" s="275">
        <v>2013</v>
      </c>
      <c r="D26" s="276">
        <v>94.5</v>
      </c>
      <c r="E26" s="276">
        <v>95.1</v>
      </c>
      <c r="F26" s="276">
        <v>95.4</v>
      </c>
      <c r="G26" s="276">
        <v>95.9</v>
      </c>
      <c r="H26" s="276">
        <v>96</v>
      </c>
      <c r="I26" s="276">
        <v>95.7</v>
      </c>
      <c r="J26" s="276">
        <v>96.1</v>
      </c>
      <c r="K26" s="276">
        <v>96</v>
      </c>
      <c r="L26" s="276">
        <v>96.4</v>
      </c>
      <c r="M26" s="276">
        <v>96.6</v>
      </c>
      <c r="N26" s="276">
        <v>96.7</v>
      </c>
      <c r="O26" s="276">
        <v>96.6</v>
      </c>
    </row>
    <row r="27" spans="2:15" outlineLevel="1">
      <c r="C27" s="275">
        <v>2014</v>
      </c>
      <c r="D27" s="276">
        <v>96.6</v>
      </c>
      <c r="E27" s="276">
        <v>97.1</v>
      </c>
      <c r="F27" s="276">
        <v>97.3</v>
      </c>
      <c r="G27" s="276">
        <v>97.7</v>
      </c>
      <c r="H27" s="276">
        <v>97.8</v>
      </c>
      <c r="I27" s="276">
        <v>97.5</v>
      </c>
      <c r="J27" s="276">
        <v>98.3</v>
      </c>
      <c r="K27" s="276">
        <v>97.9</v>
      </c>
      <c r="L27" s="276">
        <v>98.5</v>
      </c>
      <c r="M27" s="276">
        <v>98.6</v>
      </c>
      <c r="N27" s="276">
        <v>98.6</v>
      </c>
      <c r="O27" s="276">
        <v>98.6</v>
      </c>
    </row>
    <row r="28" spans="2:15" outlineLevel="1">
      <c r="C28" s="275">
        <v>2015</v>
      </c>
      <c r="D28" s="276">
        <v>98.6</v>
      </c>
      <c r="E28" s="276">
        <v>98.9</v>
      </c>
      <c r="F28" s="276">
        <v>99.2</v>
      </c>
      <c r="G28" s="276">
        <v>99.6</v>
      </c>
      <c r="H28" s="276">
        <v>99.8</v>
      </c>
      <c r="I28" s="276">
        <v>100.1</v>
      </c>
      <c r="J28" s="276">
        <v>100.1</v>
      </c>
      <c r="K28" s="276">
        <v>99.9</v>
      </c>
      <c r="L28" s="276">
        <v>100.6</v>
      </c>
      <c r="M28" s="276">
        <v>101</v>
      </c>
      <c r="N28" s="276">
        <v>101.3</v>
      </c>
      <c r="O28" s="276">
        <v>100.9</v>
      </c>
    </row>
    <row r="29" spans="2:15" outlineLevel="1">
      <c r="C29" s="275">
        <v>2016</v>
      </c>
      <c r="D29" s="276">
        <v>101.5</v>
      </c>
      <c r="E29" s="276">
        <v>102.1</v>
      </c>
      <c r="F29" s="276">
        <v>102.5</v>
      </c>
      <c r="G29" s="276">
        <v>102.9</v>
      </c>
      <c r="H29" s="276">
        <v>103.2</v>
      </c>
      <c r="I29" s="276">
        <v>103.8</v>
      </c>
      <c r="J29" s="276">
        <v>104.5</v>
      </c>
      <c r="K29" s="276">
        <v>103.9</v>
      </c>
      <c r="L29" s="276">
        <v>104.2</v>
      </c>
      <c r="M29" s="276">
        <v>104.7</v>
      </c>
      <c r="N29" s="276">
        <v>104.9</v>
      </c>
      <c r="O29" s="276">
        <v>104.4</v>
      </c>
    </row>
    <row r="30" spans="2:15" outlineLevel="1">
      <c r="C30" s="275">
        <v>2017</v>
      </c>
      <c r="D30" s="276">
        <v>104.3</v>
      </c>
      <c r="E30" s="276">
        <v>104.7</v>
      </c>
      <c r="F30" s="276">
        <v>105</v>
      </c>
      <c r="G30" s="276">
        <v>105.2</v>
      </c>
      <c r="H30" s="276">
        <v>105.4</v>
      </c>
      <c r="I30" s="276">
        <v>105.8</v>
      </c>
      <c r="J30" s="276">
        <v>106.1</v>
      </c>
      <c r="K30" s="276">
        <v>105.3</v>
      </c>
      <c r="L30" s="276">
        <v>105.9</v>
      </c>
      <c r="M30" s="276">
        <v>106</v>
      </c>
      <c r="N30" s="276">
        <v>106.1</v>
      </c>
      <c r="O30" s="276">
        <v>106.1</v>
      </c>
    </row>
    <row r="31" spans="2:15" outlineLevel="1">
      <c r="C31" s="275">
        <v>2018</v>
      </c>
      <c r="D31" s="276">
        <v>106</v>
      </c>
      <c r="E31" s="276">
        <v>107</v>
      </c>
      <c r="F31" s="276">
        <v>107.3</v>
      </c>
      <c r="G31" s="276">
        <v>107.7</v>
      </c>
      <c r="H31" s="276">
        <v>107.8</v>
      </c>
      <c r="I31" s="276">
        <v>108.5</v>
      </c>
      <c r="J31" s="276">
        <v>109.3</v>
      </c>
      <c r="K31" s="276">
        <v>108.9</v>
      </c>
      <c r="L31" s="276">
        <v>109.5</v>
      </c>
      <c r="M31" s="276">
        <v>109.3</v>
      </c>
      <c r="N31" s="276">
        <v>109.8</v>
      </c>
      <c r="O31" s="276">
        <v>109.8</v>
      </c>
    </row>
    <row r="32" spans="2:15" outlineLevel="1">
      <c r="C32" s="275">
        <v>2019</v>
      </c>
      <c r="D32" s="276">
        <v>109.3</v>
      </c>
      <c r="E32" s="276">
        <v>110.2</v>
      </c>
      <c r="F32" s="276">
        <v>110.4</v>
      </c>
      <c r="G32" s="276">
        <v>110.8</v>
      </c>
      <c r="H32" s="276">
        <v>110.5</v>
      </c>
      <c r="I32" s="276">
        <v>110.6</v>
      </c>
      <c r="J32" s="294">
        <v>111.4</v>
      </c>
      <c r="K32" s="294">
        <v>110.6</v>
      </c>
      <c r="L32" s="294">
        <v>111.1</v>
      </c>
      <c r="M32" s="294">
        <v>111.3</v>
      </c>
      <c r="N32" s="294">
        <v>111.6</v>
      </c>
      <c r="O32" s="276">
        <v>111.3</v>
      </c>
    </row>
    <row r="33" spans="2:15" outlineLevel="1">
      <c r="C33" s="275">
        <v>2020</v>
      </c>
      <c r="D33" s="19">
        <v>111.3</v>
      </c>
      <c r="E33" s="276">
        <v>111.2</v>
      </c>
      <c r="F33" s="276">
        <v>111.2</v>
      </c>
      <c r="G33" s="276">
        <v>111.7</v>
      </c>
      <c r="H33" s="276">
        <v>111.9</v>
      </c>
      <c r="I33" s="276">
        <v>112.1</v>
      </c>
      <c r="J33" s="276">
        <v>112.9</v>
      </c>
      <c r="K33" s="276">
        <v>112.5</v>
      </c>
      <c r="L33" s="276">
        <v>112.9</v>
      </c>
      <c r="M33" s="276">
        <v>113.2</v>
      </c>
      <c r="N33" s="276">
        <v>112.4</v>
      </c>
      <c r="O33" s="276">
        <v>112.9</v>
      </c>
    </row>
    <row r="34" spans="2:15" outlineLevel="1">
      <c r="C34" s="275">
        <v>2021</v>
      </c>
      <c r="D34" s="276">
        <v>114.1</v>
      </c>
      <c r="E34" s="276">
        <v>114.9</v>
      </c>
      <c r="F34" s="276">
        <v>114.6</v>
      </c>
      <c r="G34" s="276">
        <v>115</v>
      </c>
      <c r="H34" s="276">
        <v>114.9</v>
      </c>
      <c r="I34" s="276">
        <v>115.3</v>
      </c>
      <c r="J34" s="276">
        <v>116.3</v>
      </c>
      <c r="K34" s="276">
        <v>116.3</v>
      </c>
      <c r="L34" s="276">
        <v>117.5</v>
      </c>
      <c r="M34" s="276">
        <v>117.2</v>
      </c>
      <c r="N34" s="276">
        <v>118.1</v>
      </c>
      <c r="O34" s="276">
        <v>118.9</v>
      </c>
    </row>
    <row r="35" spans="2:15" outlineLevel="1">
      <c r="C35" s="275">
        <v>2022</v>
      </c>
      <c r="D35" s="276">
        <v>117.8</v>
      </c>
      <c r="E35" s="276">
        <v>119.1</v>
      </c>
      <c r="F35" s="276">
        <v>119.8</v>
      </c>
      <c r="G35" s="276">
        <v>121.2</v>
      </c>
      <c r="H35" s="276">
        <v>121.5</v>
      </c>
      <c r="I35" s="276">
        <v>122.6</v>
      </c>
      <c r="J35" s="276">
        <v>124.2</v>
      </c>
      <c r="K35" s="276">
        <v>123.9</v>
      </c>
      <c r="L35" s="276">
        <v>125.6</v>
      </c>
      <c r="M35" s="276">
        <v>126</v>
      </c>
      <c r="N35" s="276">
        <v>125.8</v>
      </c>
      <c r="O35" s="276">
        <v>125.9</v>
      </c>
    </row>
    <row r="36" spans="2:15" outlineLevel="1">
      <c r="C36" s="275">
        <v>2023</v>
      </c>
      <c r="D36" s="276">
        <v>126.1</v>
      </c>
      <c r="E36" s="276">
        <v>126.6</v>
      </c>
      <c r="F36" s="276">
        <v>127.6</v>
      </c>
      <c r="G36" s="276">
        <v>129</v>
      </c>
      <c r="H36" s="276">
        <v>129.6</v>
      </c>
      <c r="I36" s="276">
        <v>130.4</v>
      </c>
      <c r="J36" s="276">
        <v>130.9</v>
      </c>
      <c r="K36" s="276">
        <v>129.9</v>
      </c>
      <c r="L36" s="276"/>
      <c r="M36" s="276"/>
      <c r="N36" s="276"/>
      <c r="O36" s="276"/>
    </row>
    <row r="37" spans="2:15" outlineLevel="1">
      <c r="C37" s="275">
        <v>2024</v>
      </c>
      <c r="D37" s="276"/>
      <c r="E37" s="276"/>
      <c r="F37" s="276"/>
      <c r="G37" s="276"/>
      <c r="H37" s="276"/>
      <c r="I37" s="276"/>
      <c r="J37" s="276"/>
      <c r="K37" s="276"/>
      <c r="L37" s="276"/>
      <c r="M37" s="276"/>
      <c r="N37" s="276"/>
      <c r="O37" s="276"/>
    </row>
    <row r="38" spans="2:15" outlineLevel="1">
      <c r="C38" s="275">
        <v>2025</v>
      </c>
      <c r="D38" s="276"/>
      <c r="E38" s="276"/>
      <c r="F38" s="276"/>
      <c r="G38" s="276"/>
      <c r="H38" s="276"/>
      <c r="I38" s="276"/>
      <c r="J38" s="276"/>
      <c r="K38" s="276"/>
      <c r="L38" s="276"/>
      <c r="M38" s="276"/>
      <c r="N38" s="276"/>
      <c r="O38" s="276"/>
    </row>
    <row r="40" spans="2:15" s="220" customFormat="1">
      <c r="B40" s="221" t="s">
        <v>649</v>
      </c>
      <c r="C40" s="207"/>
    </row>
    <row r="41" spans="2:15" outlineLevel="1"/>
    <row r="42" spans="2:15" outlineLevel="2">
      <c r="C42" t="s">
        <v>692</v>
      </c>
      <c r="E42" s="298">
        <v>2021</v>
      </c>
      <c r="F42" s="243" t="s">
        <v>908</v>
      </c>
    </row>
    <row r="43" spans="2:15" outlineLevel="2">
      <c r="D43" s="1" t="s">
        <v>89</v>
      </c>
      <c r="E43" s="1" t="str">
        <f t="array" ref="E43:H43">TRANSPOSE(segments)</f>
        <v>Residential</v>
      </c>
      <c r="F43" s="1" t="str">
        <v>Business</v>
      </c>
      <c r="G43" s="1" t="str">
        <v>SpareSegmentC</v>
      </c>
      <c r="H43" s="1" t="str">
        <v>SpareSegmentD</v>
      </c>
    </row>
    <row r="44" spans="2:15" outlineLevel="2">
      <c r="C44" t="s">
        <v>909</v>
      </c>
      <c r="D44" s="94">
        <f>SUM(E44:H44)</f>
        <v>2628182</v>
      </c>
      <c r="E44" s="135">
        <v>1732717</v>
      </c>
      <c r="F44" s="135">
        <v>895465</v>
      </c>
      <c r="G44" s="170"/>
      <c r="H44" s="170"/>
    </row>
    <row r="45" spans="2:15" ht="12" outlineLevel="2">
      <c r="D45" s="43" t="s">
        <v>203</v>
      </c>
      <c r="E45" s="43" t="s">
        <v>206</v>
      </c>
      <c r="F45" s="43" t="s">
        <v>207</v>
      </c>
      <c r="G45" s="43" t="s">
        <v>208</v>
      </c>
      <c r="H45" s="43" t="s">
        <v>209</v>
      </c>
    </row>
    <row r="46" spans="2:15" outlineLevel="2">
      <c r="C46" t="s">
        <v>910</v>
      </c>
      <c r="D46" s="94">
        <f>SUM(E46:H46)</f>
        <v>6007385</v>
      </c>
      <c r="E46" s="135">
        <v>4350775</v>
      </c>
      <c r="F46" s="135">
        <v>1656610</v>
      </c>
      <c r="G46" s="170"/>
      <c r="H46" s="170"/>
    </row>
    <row r="47" spans="2:15" ht="12" outlineLevel="2">
      <c r="D47" s="43" t="s">
        <v>210</v>
      </c>
      <c r="E47" s="43" t="s">
        <v>211</v>
      </c>
      <c r="F47" s="43" t="s">
        <v>212</v>
      </c>
      <c r="G47" s="43" t="s">
        <v>213</v>
      </c>
      <c r="H47" s="43" t="s">
        <v>214</v>
      </c>
    </row>
    <row r="48" spans="2:15">
      <c r="K48" s="290"/>
    </row>
    <row r="49" spans="2:9" s="220" customFormat="1">
      <c r="B49" s="221" t="s">
        <v>622</v>
      </c>
      <c r="C49" s="207"/>
    </row>
    <row r="50" spans="2:9" outlineLevel="1"/>
    <row r="51" spans="2:9" ht="12" outlineLevel="1">
      <c r="C51" s="73" t="str">
        <f t="array" ref="C51:C54">list.revenue.and.cost.handset.and.other</f>
        <v>Revenues: Mobile handsets</v>
      </c>
      <c r="D51" t="s">
        <v>221</v>
      </c>
      <c r="E51" s="328"/>
      <c r="F51" s="43" t="s">
        <v>636</v>
      </c>
    </row>
    <row r="52" spans="2:9" ht="12" outlineLevel="1">
      <c r="C52" s="73" t="str">
        <v>Revenues: Other (additional)</v>
      </c>
      <c r="D52" t="s">
        <v>221</v>
      </c>
      <c r="E52" s="328"/>
      <c r="F52" s="43" t="s">
        <v>637</v>
      </c>
    </row>
    <row r="53" spans="2:9" ht="12" outlineLevel="1">
      <c r="C53" s="73" t="str">
        <v>External costs: Mobile handset</v>
      </c>
      <c r="D53" t="s">
        <v>221</v>
      </c>
      <c r="E53" s="328"/>
      <c r="F53" s="43" t="s">
        <v>638</v>
      </c>
    </row>
    <row r="54" spans="2:9" ht="12" outlineLevel="1">
      <c r="C54" s="73" t="str">
        <v>External costs: Other</v>
      </c>
      <c r="D54" t="s">
        <v>221</v>
      </c>
      <c r="E54" s="328"/>
      <c r="F54" s="43" t="s">
        <v>635</v>
      </c>
    </row>
    <row r="55" spans="2:9" outlineLevel="1">
      <c r="C55" s="99"/>
    </row>
    <row r="56" spans="2:9" outlineLevel="1">
      <c r="C56" s="91" t="s">
        <v>717</v>
      </c>
      <c r="E56" s="1" t="str">
        <f t="array" ref="E56:H56">TRANSPOSE(segments)</f>
        <v>Residential</v>
      </c>
      <c r="F56" s="1" t="str">
        <v>Business</v>
      </c>
      <c r="G56" s="1" t="str">
        <v>SpareSegmentC</v>
      </c>
      <c r="H56" s="1" t="str">
        <v>SpareSegmentD</v>
      </c>
    </row>
    <row r="57" spans="2:9" ht="12" outlineLevel="1">
      <c r="C57" s="73" t="str">
        <f t="array" ref="C57:C60">list.revenue.and.cost.handset.and.other</f>
        <v>Revenues: Mobile handsets</v>
      </c>
      <c r="E57" s="329"/>
      <c r="F57" s="329"/>
      <c r="G57" s="329"/>
      <c r="H57" s="329"/>
      <c r="I57" s="43" t="s">
        <v>710</v>
      </c>
    </row>
    <row r="58" spans="2:9" ht="12" outlineLevel="1">
      <c r="C58" s="73" t="str">
        <v>Revenues: Other (additional)</v>
      </c>
      <c r="E58" s="329"/>
      <c r="F58" s="329"/>
      <c r="G58" s="329"/>
      <c r="H58" s="329"/>
      <c r="I58" s="43" t="s">
        <v>712</v>
      </c>
    </row>
    <row r="59" spans="2:9" ht="12" outlineLevel="1">
      <c r="C59" s="73" t="str">
        <v>External costs: Mobile handset</v>
      </c>
      <c r="E59" s="329"/>
      <c r="F59" s="329"/>
      <c r="G59" s="329"/>
      <c r="H59" s="329"/>
      <c r="I59" s="43" t="s">
        <v>711</v>
      </c>
    </row>
    <row r="60" spans="2:9" ht="12" outlineLevel="1">
      <c r="C60" s="73" t="str">
        <v>External costs: Other</v>
      </c>
      <c r="E60" s="329"/>
      <c r="F60" s="329"/>
      <c r="G60" s="329"/>
      <c r="H60" s="329"/>
      <c r="I60" s="43" t="s">
        <v>713</v>
      </c>
    </row>
    <row r="62" spans="2:9" s="220" customFormat="1">
      <c r="B62" s="221" t="s">
        <v>605</v>
      </c>
      <c r="C62" s="207"/>
    </row>
    <row r="63" spans="2:9" outlineLevel="1"/>
    <row r="64" spans="2:9" ht="12" outlineLevel="1">
      <c r="D64" s="274">
        <v>44743</v>
      </c>
      <c r="E64" s="43" t="s">
        <v>608</v>
      </c>
      <c r="F64" s="73">
        <f>MATCH(retail.cost.trend.chosen,cost.trend.options,0)</f>
        <v>3</v>
      </c>
      <c r="H64" s="19"/>
    </row>
    <row r="65" spans="1:11" ht="57.5" outlineLevel="1">
      <c r="A65" s="330">
        <f>ROUND((I35/I31)-1,2)</f>
        <v>0.13</v>
      </c>
      <c r="B65" s="271"/>
      <c r="C65" s="1" t="s">
        <v>598</v>
      </c>
      <c r="D65" s="1" t="s">
        <v>620</v>
      </c>
      <c r="E65" s="1" t="s">
        <v>614</v>
      </c>
      <c r="F65" s="1" t="s">
        <v>617</v>
      </c>
      <c r="G65" s="1" t="s">
        <v>621</v>
      </c>
      <c r="H65" s="1" t="s">
        <v>599</v>
      </c>
      <c r="J65" s="1" t="s">
        <v>646</v>
      </c>
      <c r="K65" s="1" t="s">
        <v>634</v>
      </c>
    </row>
    <row r="66" spans="1:11" outlineLevel="1">
      <c r="A66" s="328"/>
      <c r="B66" s="271"/>
      <c r="C66" s="73" t="str">
        <f t="array" ref="C66:C69">segments</f>
        <v>Residential</v>
      </c>
      <c r="D66" s="122">
        <f>ROUND(A66*(1+$A$65),-5)</f>
        <v>0</v>
      </c>
      <c r="E66" s="331"/>
      <c r="F66" s="82">
        <f>CHOOSE($F$64,0,$D$21,E66)</f>
        <v>0</v>
      </c>
      <c r="G66" s="122">
        <f>D66*POWER(1+F66,E$19)</f>
        <v>0</v>
      </c>
      <c r="H66" s="277">
        <f t="array" ref="H66:H69">retail.number.subscribers.test.segment.all</f>
        <v>130523.25</v>
      </c>
      <c r="J66" s="129">
        <f>((G74+IF(H66=0,0,G66/H66))/months.per.year)+K66</f>
        <v>0</v>
      </c>
      <c r="K66" s="137">
        <f>output.external.costs.segment.1</f>
        <v>0</v>
      </c>
    </row>
    <row r="67" spans="1:11" outlineLevel="1">
      <c r="A67" s="328"/>
      <c r="B67" s="271"/>
      <c r="C67" s="73" t="str">
        <v>Business</v>
      </c>
      <c r="D67" s="122">
        <f t="shared" ref="D67:D69" si="2">ROUND(A67*(1+$A$65),-5)</f>
        <v>0</v>
      </c>
      <c r="E67" s="331"/>
      <c r="F67" s="82">
        <f>CHOOSE($F$64,0,$D$21,E67)</f>
        <v>0</v>
      </c>
      <c r="G67" s="122">
        <f>D67*POWER(1+F67,E$19)</f>
        <v>0</v>
      </c>
      <c r="H67" s="277">
        <v>49698.299999999996</v>
      </c>
      <c r="J67" s="129">
        <f t="shared" ref="J67:J69" si="3">((G75+IF(H67=0,0,G67/H67))/months.per.year)+K67</f>
        <v>0</v>
      </c>
      <c r="K67" s="227">
        <f>output.external.costs.segment.2</f>
        <v>0</v>
      </c>
    </row>
    <row r="68" spans="1:11" outlineLevel="1">
      <c r="A68" s="328"/>
      <c r="B68" s="271"/>
      <c r="C68" s="73" t="str">
        <v>SpareSegmentC</v>
      </c>
      <c r="D68" s="122">
        <f t="shared" si="2"/>
        <v>0</v>
      </c>
      <c r="E68" s="331"/>
      <c r="F68" s="82">
        <f>CHOOSE($F$64,0,$D$21,E68)</f>
        <v>0</v>
      </c>
      <c r="G68" s="122">
        <f>D68*POWER(1+F68,E$19)</f>
        <v>0</v>
      </c>
      <c r="H68" s="277">
        <v>0</v>
      </c>
      <c r="J68" s="129">
        <f t="shared" si="3"/>
        <v>0</v>
      </c>
      <c r="K68" s="137">
        <f>output.external.costs.segment.3</f>
        <v>0</v>
      </c>
    </row>
    <row r="69" spans="1:11" outlineLevel="1">
      <c r="A69" s="328"/>
      <c r="B69" s="271"/>
      <c r="C69" s="73" t="str">
        <v>SpareSegmentD</v>
      </c>
      <c r="D69" s="122">
        <f t="shared" si="2"/>
        <v>0</v>
      </c>
      <c r="E69" s="331"/>
      <c r="F69" s="82">
        <f>CHOOSE($F$64,0,$D$21,E69)</f>
        <v>0</v>
      </c>
      <c r="G69" s="122">
        <f>D69*POWER(1+F69,$E$19)</f>
        <v>0</v>
      </c>
      <c r="H69" s="277">
        <v>0</v>
      </c>
      <c r="J69" s="129">
        <f t="shared" si="3"/>
        <v>0</v>
      </c>
      <c r="K69" s="227">
        <f>output.external.costs.segment.4</f>
        <v>0</v>
      </c>
    </row>
    <row r="70" spans="1:11" outlineLevel="1"/>
    <row r="71" spans="1:11" ht="12" outlineLevel="1">
      <c r="C71" t="s">
        <v>625</v>
      </c>
      <c r="D71" s="328"/>
      <c r="E71" s="278">
        <f>IF(SUM(D66:D67)=0,0,SUMPRODUCT(D66:D67,E66:E67)/SUM(D66:D67))</f>
        <v>0</v>
      </c>
      <c r="F71" s="82">
        <f>CHOOSE($F$64,0,$D$21,E71)</f>
        <v>0</v>
      </c>
      <c r="G71" s="122">
        <f>D71*POWER(1+F71,$E$19)</f>
        <v>0</v>
      </c>
      <c r="H71" s="279">
        <f>G71/million</f>
        <v>0</v>
      </c>
      <c r="I71" s="43" t="s">
        <v>624</v>
      </c>
    </row>
    <row r="72" spans="1:11" outlineLevel="1"/>
    <row r="73" spans="1:11" ht="23" outlineLevel="1">
      <c r="C73" s="1" t="s">
        <v>645</v>
      </c>
      <c r="D73" s="1" t="s">
        <v>620</v>
      </c>
      <c r="E73" s="1" t="s">
        <v>614</v>
      </c>
      <c r="F73" s="1" t="s">
        <v>617</v>
      </c>
      <c r="G73" s="1" t="s">
        <v>621</v>
      </c>
    </row>
    <row r="74" spans="1:11" outlineLevel="1">
      <c r="C74" s="73" t="str">
        <f t="array" ref="C74:C77">segments</f>
        <v>Residential</v>
      </c>
      <c r="D74" s="328"/>
      <c r="E74" s="329"/>
      <c r="F74" s="82">
        <f>CHOOSE($F$64,0,$D$21,E74)</f>
        <v>0</v>
      </c>
      <c r="G74" s="122">
        <f>D74*POWER(1+F74,$E$19)</f>
        <v>0</v>
      </c>
      <c r="H74" s="265"/>
    </row>
    <row r="75" spans="1:11" outlineLevel="1">
      <c r="C75" s="73" t="str">
        <v>Business</v>
      </c>
      <c r="D75" s="328"/>
      <c r="E75" s="329"/>
      <c r="F75" s="82">
        <f>CHOOSE($F$64,0,$D$21,E75)</f>
        <v>0</v>
      </c>
      <c r="G75" s="122">
        <f>D75*POWER(1+F75,$E$19)</f>
        <v>0</v>
      </c>
      <c r="H75" s="265"/>
    </row>
    <row r="76" spans="1:11" outlineLevel="1">
      <c r="C76" s="73" t="str">
        <v>SpareSegmentC</v>
      </c>
      <c r="D76" s="328"/>
      <c r="E76" s="329"/>
      <c r="F76" s="82">
        <f>CHOOSE($F$64,0,$D$21,E76)</f>
        <v>0</v>
      </c>
      <c r="G76" s="122">
        <f>D76*POWER(1+F76,$E$19)</f>
        <v>0</v>
      </c>
    </row>
    <row r="77" spans="1:11" outlineLevel="1">
      <c r="C77" s="73" t="str">
        <v>SpareSegmentD</v>
      </c>
      <c r="D77" s="328"/>
      <c r="E77" s="329"/>
      <c r="F77" s="82">
        <f>CHOOSE($F$64,0,$D$21,E77)</f>
        <v>0</v>
      </c>
      <c r="G77" s="122">
        <f>D77*POWER(1+F77,$E$19)</f>
        <v>0</v>
      </c>
    </row>
  </sheetData>
  <sortState xmlns:xlrd2="http://schemas.microsoft.com/office/spreadsheetml/2017/richdata2" ref="C25:I32">
    <sortCondition ref="C25:C32"/>
  </sortState>
  <hyperlinks>
    <hyperlink ref="C23" r:id="rId1" display="https://www.ssb.no/en/priser-og-prisindekser/statistikker/kpi/maaned" xr:uid="{00000000-0004-0000-0900-000000000000}"/>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5C228EB94C97D458CBE00AC5F978A36" ma:contentTypeVersion="16" ma:contentTypeDescription="Opprett et nytt dokument." ma:contentTypeScope="" ma:versionID="b3bff306a09b894d4adca2481438c9c7">
  <xsd:schema xmlns:xsd="http://www.w3.org/2001/XMLSchema" xmlns:xs="http://www.w3.org/2001/XMLSchema" xmlns:p="http://schemas.microsoft.com/office/2006/metadata/properties" xmlns:ns2="36bfa573-7358-473a-8784-8027176a95c7" xmlns:ns3="08254a79-97cb-4bf5-b692-fb6b078f2c30" targetNamespace="http://schemas.microsoft.com/office/2006/metadata/properties" ma:root="true" ma:fieldsID="fad5c0e6acc0c6a72d18baef10a180fe" ns2:_="" ns3:_="">
    <xsd:import namespace="36bfa573-7358-473a-8784-8027176a95c7"/>
    <xsd:import namespace="08254a79-97cb-4bf5-b692-fb6b078f2c3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fa573-7358-473a-8784-8027176a95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908b2e2d-454f-43c7-9839-d244173d1e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254a79-97cb-4bf5-b692-fb6b078f2c30"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0a77938b-8b02-4694-ab96-6d50e80069d4}" ma:internalName="TaxCatchAll" ma:showField="CatchAllData" ma:web="08254a79-97cb-4bf5-b692-fb6b078f2c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6bfa573-7358-473a-8784-8027176a95c7">
      <Terms xmlns="http://schemas.microsoft.com/office/infopath/2007/PartnerControls"/>
    </lcf76f155ced4ddcb4097134ff3c332f>
    <TaxCatchAll xmlns="08254a79-97cb-4bf5-b692-fb6b078f2c3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EE44FD-237C-4772-83E5-A91993493AE1}"/>
</file>

<file path=customXml/itemProps2.xml><?xml version="1.0" encoding="utf-8"?>
<ds:datastoreItem xmlns:ds="http://schemas.openxmlformats.org/officeDocument/2006/customXml" ds:itemID="{C8E78764-5756-4D46-A980-AE5043A6C67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3B8A4ED-5958-427A-915C-B6A782511A7E}">
  <ds:schemaRefs>
    <ds:schemaRef ds:uri="http://schemas.microsoft.com/sharepoint/v3/contenttype/forms"/>
  </ds:schemaRefs>
</ds:datastoreItem>
</file>

<file path=docMetadata/LabelInfo.xml><?xml version="1.0" encoding="utf-8"?>
<clbl:labelList xmlns:clbl="http://schemas.microsoft.com/office/2020/mipLabelMetadata">
  <clbl:label id="{f2d06fff-1cf9-44fc-a24c-977797e9de2e}" enabled="1" method="Standard" siteId="{090837fc-2949-4d3c-b475-8fe9817d6f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14</vt:i4>
      </vt:variant>
      <vt:variant>
        <vt:lpstr>Navngitte områder</vt:lpstr>
      </vt:variant>
      <vt:variant>
        <vt:i4>201</vt:i4>
      </vt:variant>
    </vt:vector>
  </HeadingPairs>
  <TitlesOfParts>
    <vt:vector size="215" baseType="lpstr">
      <vt:lpstr>C</vt:lpstr>
      <vt:lpstr>V</vt:lpstr>
      <vt:lpstr>S</vt:lpstr>
      <vt:lpstr>InLists</vt:lpstr>
      <vt:lpstr>Control</vt:lpstr>
      <vt:lpstr>InVolumes</vt:lpstr>
      <vt:lpstr>InRevenues</vt:lpstr>
      <vt:lpstr>InWholesaleIC</vt:lpstr>
      <vt:lpstr>InRetailCosts</vt:lpstr>
      <vt:lpstr>Volumes</vt:lpstr>
      <vt:lpstr>Revenues</vt:lpstr>
      <vt:lpstr>FixedWholesale</vt:lpstr>
      <vt:lpstr>Wholesale</vt:lpstr>
      <vt:lpstr>IC</vt:lpstr>
      <vt:lpstr>check.current.MVNO.SP.access.fee</vt:lpstr>
      <vt:lpstr>check.current.MVNO.SP.data</vt:lpstr>
      <vt:lpstr>check.current.MVNO.SP.roaming</vt:lpstr>
      <vt:lpstr>check.current.MVNO.SP.SMS</vt:lpstr>
      <vt:lpstr>check.current.MVNO.SP.termination</vt:lpstr>
      <vt:lpstr>check.current.MVNO.SP.VAS</vt:lpstr>
      <vt:lpstr>check.current.MVNO.SP.voice</vt:lpstr>
      <vt:lpstr>check.current.offers</vt:lpstr>
      <vt:lpstr>check.naming.consistency</vt:lpstr>
      <vt:lpstr>check.product.weights</vt:lpstr>
      <vt:lpstr>chosen.data.speed</vt:lpstr>
      <vt:lpstr>cost.per.MB.by.speed</vt:lpstr>
      <vt:lpstr>cost.trend.options</vt:lpstr>
      <vt:lpstr>current.MVNO.and.SP.offer</vt:lpstr>
      <vt:lpstr>Current.ws.offer</vt:lpstr>
      <vt:lpstr>data.per.month.segment.1</vt:lpstr>
      <vt:lpstr>data.per.month.segment.2</vt:lpstr>
      <vt:lpstr>data.per.month.segment.3</vt:lpstr>
      <vt:lpstr>data.per.month.segment.4</vt:lpstr>
      <vt:lpstr>data.speed.options</vt:lpstr>
      <vt:lpstr>data.speed.options.segment.1</vt:lpstr>
      <vt:lpstr>data.speed.options.segment.2</vt:lpstr>
      <vt:lpstr>data.speed.options.segment.3</vt:lpstr>
      <vt:lpstr>data.speed.options.segment.4</vt:lpstr>
      <vt:lpstr>data.uplift.sensitivity</vt:lpstr>
      <vt:lpstr>demand.descriptions</vt:lpstr>
      <vt:lpstr>demand.descriptions.short</vt:lpstr>
      <vt:lpstr>destination.IC</vt:lpstr>
      <vt:lpstr>discount.rebate</vt:lpstr>
      <vt:lpstr>discount.turnover.interval</vt:lpstr>
      <vt:lpstr>distribution.data.wholesale.tier</vt:lpstr>
      <vt:lpstr>distribution.outgoing.voice.by.destination</vt:lpstr>
      <vt:lpstr>effective.date</vt:lpstr>
      <vt:lpstr>fixed.cost.synergy.both.segments</vt:lpstr>
      <vt:lpstr>in.min.per.month.segment.1</vt:lpstr>
      <vt:lpstr>in.min.per.month.segment.2</vt:lpstr>
      <vt:lpstr>in.min.per.month.segment.3</vt:lpstr>
      <vt:lpstr>in.min.per.month.segment.4</vt:lpstr>
      <vt:lpstr>in.SMS.per.month.segment.1</vt:lpstr>
      <vt:lpstr>in.SMS.per.month.segment.2</vt:lpstr>
      <vt:lpstr>in.SMS.per.month.segment.3</vt:lpstr>
      <vt:lpstr>in.SMS.per.month.segment.4</vt:lpstr>
      <vt:lpstr>Incoming.termination</vt:lpstr>
      <vt:lpstr>lbl.MVNO</vt:lpstr>
      <vt:lpstr>lbl.SP</vt:lpstr>
      <vt:lpstr>list.data.speed.choices</vt:lpstr>
      <vt:lpstr>list.revenue.and.cost.handset.and.other</vt:lpstr>
      <vt:lpstr>market.retail.segment.1.subscribers</vt:lpstr>
      <vt:lpstr>market.retail.segment.2.subscribers</vt:lpstr>
      <vt:lpstr>market.retail.segment.3.subscribers</vt:lpstr>
      <vt:lpstr>market.retail.segment.4.subscribers</vt:lpstr>
      <vt:lpstr>market.retail.subscribers</vt:lpstr>
      <vt:lpstr>offers.segment.1</vt:lpstr>
      <vt:lpstr>offers.segment.2</vt:lpstr>
      <vt:lpstr>offers.segment.3</vt:lpstr>
      <vt:lpstr>offers.segment.4</vt:lpstr>
      <vt:lpstr>offers.segment.all</vt:lpstr>
      <vt:lpstr>options.selected.basic</vt:lpstr>
      <vt:lpstr>options.selected.monthly</vt:lpstr>
      <vt:lpstr>options.selected.roaming</vt:lpstr>
      <vt:lpstr>options.selected.roaming.detailed</vt:lpstr>
      <vt:lpstr>options.selected.termination</vt:lpstr>
      <vt:lpstr>options.selected.VAS</vt:lpstr>
      <vt:lpstr>out.IC.min.per.month.segment.1</vt:lpstr>
      <vt:lpstr>out.IC.min.per.month.segment.2</vt:lpstr>
      <vt:lpstr>out.IC.min.per.month.segment.3</vt:lpstr>
      <vt:lpstr>out.IC.min.per.month.segment.4</vt:lpstr>
      <vt:lpstr>out.IC.SMS.per.month.segment.1</vt:lpstr>
      <vt:lpstr>out.IC.SMS.per.month.segment.2</vt:lpstr>
      <vt:lpstr>out.IC.SMS.per.month.segment.3</vt:lpstr>
      <vt:lpstr>out.IC.SMS.per.month.segment.4</vt:lpstr>
      <vt:lpstr>out.min.per.month.segment.1</vt:lpstr>
      <vt:lpstr>out.min.per.month.segment.2</vt:lpstr>
      <vt:lpstr>out.min.per.month.segment.3</vt:lpstr>
      <vt:lpstr>out.min.per.month.segment.4</vt:lpstr>
      <vt:lpstr>out.SMS.per.month.segment.1</vt:lpstr>
      <vt:lpstr>out.SMS.per.month.segment.2</vt:lpstr>
      <vt:lpstr>out.SMS.per.month.segment.3</vt:lpstr>
      <vt:lpstr>out.SMS.per.month.segment.4</vt:lpstr>
      <vt:lpstr>out.split.min.per.month.segment.1</vt:lpstr>
      <vt:lpstr>out.split.min.per.month.segment.2</vt:lpstr>
      <vt:lpstr>out.split.min.per.month.segment.3</vt:lpstr>
      <vt:lpstr>out.split.min.per.month.segment.4</vt:lpstr>
      <vt:lpstr>out.split.SMS.per.month.segment.1</vt:lpstr>
      <vt:lpstr>out.split.SMS.per.month.segment.2</vt:lpstr>
      <vt:lpstr>out.split.SMS.per.month.segment.3</vt:lpstr>
      <vt:lpstr>out.split.SMS.per.month.segment.4</vt:lpstr>
      <vt:lpstr>Out.term.SMS</vt:lpstr>
      <vt:lpstr>Out.term.voice</vt:lpstr>
      <vt:lpstr>output.additional.revenue.all</vt:lpstr>
      <vt:lpstr>output.additional.revenue.segment.1</vt:lpstr>
      <vt:lpstr>output.additional.revenue.segment.2</vt:lpstr>
      <vt:lpstr>output.additional.revenue.segment.3</vt:lpstr>
      <vt:lpstr>output.additional.revenue.segment.4</vt:lpstr>
      <vt:lpstr>output.average.cost.per.MB.all.sub.weighted</vt:lpstr>
      <vt:lpstr>output.average.cost.per.MB.segment.1</vt:lpstr>
      <vt:lpstr>output.average.cost.per.MB.segment.2</vt:lpstr>
      <vt:lpstr>output.average.cost.per.MB.segment.3</vt:lpstr>
      <vt:lpstr>output.average.cost.per.MB.segment.4</vt:lpstr>
      <vt:lpstr>output.external.costs.segment.1</vt:lpstr>
      <vt:lpstr>output.external.costs.segment.2</vt:lpstr>
      <vt:lpstr>output.external.costs.segment.3</vt:lpstr>
      <vt:lpstr>output.external.costs.segment.4</vt:lpstr>
      <vt:lpstr>output.fixed.ws.all</vt:lpstr>
      <vt:lpstr>output.fixed.ws.segment.1</vt:lpstr>
      <vt:lpstr>output.fixed.ws.segment.2</vt:lpstr>
      <vt:lpstr>output.fixed.ws.segment.3</vt:lpstr>
      <vt:lpstr>output.fixed.ws.segment.4</vt:lpstr>
      <vt:lpstr>output.interconnection.costs.all</vt:lpstr>
      <vt:lpstr>output.interconnection.costs.segment.1</vt:lpstr>
      <vt:lpstr>output.interconnection.costs.segment.1.offers</vt:lpstr>
      <vt:lpstr>output.interconnection.costs.segment.2</vt:lpstr>
      <vt:lpstr>output.interconnection.costs.segment.2.offers</vt:lpstr>
      <vt:lpstr>output.interconnection.costs.segment.3</vt:lpstr>
      <vt:lpstr>output.interconnection.costs.segment.3.offers</vt:lpstr>
      <vt:lpstr>output.interconnection.costs.segment.4</vt:lpstr>
      <vt:lpstr>output.interconnection.costs.segment.4.offers</vt:lpstr>
      <vt:lpstr>output.retail.costs.all</vt:lpstr>
      <vt:lpstr>output.retail.costs.segment.1</vt:lpstr>
      <vt:lpstr>output.retail.costs.segment.2</vt:lpstr>
      <vt:lpstr>output.retail.costs.segment.3</vt:lpstr>
      <vt:lpstr>output.retail.costs.segment.4</vt:lpstr>
      <vt:lpstr>output.revenue.all</vt:lpstr>
      <vt:lpstr>output.revenue.segment.1</vt:lpstr>
      <vt:lpstr>output.revenue.segment.1.offers</vt:lpstr>
      <vt:lpstr>output.revenue.segment.2</vt:lpstr>
      <vt:lpstr>output.revenue.segment.2.offers</vt:lpstr>
      <vt:lpstr>output.revenue.segment.3</vt:lpstr>
      <vt:lpstr>output.revenue.segment.3.offers</vt:lpstr>
      <vt:lpstr>output.revenue.segment.4</vt:lpstr>
      <vt:lpstr>output.revenue.segment.4.offers</vt:lpstr>
      <vt:lpstr>output.wholesale.costs.all</vt:lpstr>
      <vt:lpstr>output.wholesale.costs.segment.1</vt:lpstr>
      <vt:lpstr>output.wholesale.costs.segment.1.offers</vt:lpstr>
      <vt:lpstr>output.wholesale.costs.segment.2</vt:lpstr>
      <vt:lpstr>output.wholesale.costs.segment.2.offers</vt:lpstr>
      <vt:lpstr>output.wholesale.costs.segment.3</vt:lpstr>
      <vt:lpstr>output.wholesale.costs.segment.3.offers</vt:lpstr>
      <vt:lpstr>output.wholesale.costs.segment.4</vt:lpstr>
      <vt:lpstr>output.wholesale.costs.segment.4.offers</vt:lpstr>
      <vt:lpstr>per.sub.revenues.by.revenues.descriptions</vt:lpstr>
      <vt:lpstr>per.sub.volumes.by.demand.descriptions</vt:lpstr>
      <vt:lpstr>prop.mobile.handset.cost.by.segment</vt:lpstr>
      <vt:lpstr>prop.mobile.handset.revenue.by.segment</vt:lpstr>
      <vt:lpstr>prop.mobile.other.cost.by.segment</vt:lpstr>
      <vt:lpstr>prop.mobile.other.revenue.by.segment</vt:lpstr>
      <vt:lpstr>retail.cost.trend.chosen</vt:lpstr>
      <vt:lpstr>retail.market.share.active</vt:lpstr>
      <vt:lpstr>retail.number.subscribers.test</vt:lpstr>
      <vt:lpstr>retail.number.subscribers.test.segment.all</vt:lpstr>
      <vt:lpstr>retail.number.subscribers.test.segment1</vt:lpstr>
      <vt:lpstr>retail.number.subscribers.test.segment2</vt:lpstr>
      <vt:lpstr>retail.number.subscribers.test.segment3</vt:lpstr>
      <vt:lpstr>retail.number.subscribers.test.segment4</vt:lpstr>
      <vt:lpstr>revenue.descriptions</vt:lpstr>
      <vt:lpstr>revenue.descriptions.short</vt:lpstr>
      <vt:lpstr>revenues.by.revenues.descriptions</vt:lpstr>
      <vt:lpstr>Roaming.IC</vt:lpstr>
      <vt:lpstr>segment.split</vt:lpstr>
      <vt:lpstr>segments</vt:lpstr>
      <vt:lpstr>SIM.fee</vt:lpstr>
      <vt:lpstr>SMS.destination.plus.in</vt:lpstr>
      <vt:lpstr>SMS.termination.rates.from.other.operators</vt:lpstr>
      <vt:lpstr>space</vt:lpstr>
      <vt:lpstr>start.date</vt:lpstr>
      <vt:lpstr>subscribers.aop</vt:lpstr>
      <vt:lpstr>subscription.split.segment.1</vt:lpstr>
      <vt:lpstr>subscription.split.segment.2</vt:lpstr>
      <vt:lpstr>subscription.split.segment.3</vt:lpstr>
      <vt:lpstr>subscription.split.segment.4</vt:lpstr>
      <vt:lpstr>telenor.retail.segment.1.subscribers</vt:lpstr>
      <vt:lpstr>telenor.retail.segment.2.subscribers</vt:lpstr>
      <vt:lpstr>telenor.retail.segment.3.subscribers</vt:lpstr>
      <vt:lpstr>telenor.retail.segment.4.subscribers</vt:lpstr>
      <vt:lpstr>telenor.retail.subscribers</vt:lpstr>
      <vt:lpstr>total.mobile.handsets.external.costs</vt:lpstr>
      <vt:lpstr>total.mobile.handsets.revenues</vt:lpstr>
      <vt:lpstr>total.other.additional.revenues</vt:lpstr>
      <vt:lpstr>total.other.external.costs</vt:lpstr>
      <vt:lpstr>VAS.IC</vt:lpstr>
      <vt:lpstr>voice.destination</vt:lpstr>
      <vt:lpstr>voice.destination.domestic</vt:lpstr>
      <vt:lpstr>voice.destination.plus.in</vt:lpstr>
      <vt:lpstr>voice.termination.rates.from.other.operators</vt:lpstr>
      <vt:lpstr>volumes.by.demand.descriptions</vt:lpstr>
      <vt:lpstr>wholesale.data.tiers</vt:lpstr>
      <vt:lpstr>wholesale.offer.selected</vt:lpstr>
      <vt:lpstr>wholesale.offer.type.selected</vt:lpstr>
      <vt:lpstr>wholesale.offer.types</vt:lpstr>
      <vt:lpstr>wholesale.offers</vt:lpstr>
      <vt:lpstr>wholesale.offers.mkt.share</vt:lpstr>
      <vt:lpstr>wholesale.offers.type</vt:lpstr>
      <vt:lpstr>Workbook.Author</vt:lpstr>
      <vt:lpstr>Workbook.Objective</vt:lpstr>
      <vt:lpstr>Workbook.Status</vt:lpstr>
      <vt:lpstr>Workbook.Title</vt:lpstr>
      <vt:lpstr>Workbook.Version</vt:lpstr>
      <vt:lpstr>WS.access.fees</vt:lpstr>
      <vt:lpstr>WS.data</vt:lpstr>
      <vt:lpstr>WS.SMS.traffic</vt:lpstr>
      <vt:lpstr>WS.voice.traffic</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2022-06-18T22:32:50Z</dcterms:created>
  <dcterms:modified xsi:type="dcterms:W3CDTF">2023-09-27T10:29:18Z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0x01010035C228EB94C97D458CBE00AC5F978A36</vt:lpwstr>
  </property>
</Properties>
</file>